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30" windowWidth="19155" windowHeight="8205" activeTab="2"/>
  </bookViews>
  <sheets>
    <sheet name="front page" sheetId="4" r:id="rId1"/>
    <sheet name="Public Expenditure" sheetId="1" r:id="rId2"/>
    <sheet name="EU contribution" sheetId="3" r:id="rId3"/>
  </sheets>
  <externalReferences>
    <externalReference r:id="rId4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2">'[1]Annex 1 A1 P4'!#REF!</definedName>
    <definedName name="Measureslist">'[1]Annex 1 A1 P4'!#REF!</definedName>
    <definedName name="Measureslist2" localSheetId="2">'[1]Annex 1 A1 P4'!#REF!</definedName>
    <definedName name="Measureslist2">'[1]Annex 1 A1 P4'!#REF!</definedName>
    <definedName name="_xlnm.Print_Area" localSheetId="2">'EU contribution'!$A$1:$W$58</definedName>
    <definedName name="_xlnm.Print_Area" localSheetId="0">'front page'!$A$1:$J$22</definedName>
    <definedName name="_xlnm.Print_Area" localSheetId="1">'Public Expenditure'!$A$1:$V$74</definedName>
    <definedName name="RDPMSlist">'[1]technical sheet AEM typology'!$E$2:$E$119</definedName>
    <definedName name="yesnolist">'[1]technical sheet AEM typology'!$C$3:$C$4</definedName>
  </definedNames>
  <calcPr calcId="145621"/>
</workbook>
</file>

<file path=xl/calcChain.xml><?xml version="1.0" encoding="utf-8"?>
<calcChain xmlns="http://schemas.openxmlformats.org/spreadsheetml/2006/main">
  <c r="U51" i="3" l="1"/>
  <c r="U50" i="3"/>
  <c r="W54" i="3" l="1"/>
  <c r="U49" i="3"/>
  <c r="P44" i="3" l="1"/>
  <c r="O44" i="3"/>
  <c r="L44" i="3"/>
  <c r="J46" i="3"/>
  <c r="J45" i="3"/>
  <c r="H44" i="3"/>
  <c r="R4" i="3"/>
  <c r="P4" i="3"/>
  <c r="O4" i="3"/>
  <c r="L4" i="3"/>
  <c r="J4" i="3" l="1"/>
  <c r="H6" i="3"/>
  <c r="W6" i="3" s="1"/>
  <c r="H4" i="3"/>
  <c r="W55" i="3" l="1"/>
  <c r="F58" i="3"/>
  <c r="J42" i="3"/>
  <c r="L41" i="3"/>
  <c r="L40" i="3"/>
  <c r="L39" i="3"/>
  <c r="L35" i="3"/>
  <c r="L34" i="3"/>
  <c r="L32" i="3"/>
  <c r="L31" i="3"/>
  <c r="L29" i="3"/>
  <c r="W29" i="3" s="1"/>
  <c r="J27" i="3"/>
  <c r="L25" i="3"/>
  <c r="W25" i="3" s="1"/>
  <c r="L24" i="3"/>
  <c r="W24" i="3" s="1"/>
  <c r="L23" i="3"/>
  <c r="L22" i="3"/>
  <c r="W22" i="3" s="1"/>
  <c r="U20" i="3"/>
  <c r="W20" i="3" s="1"/>
  <c r="U19" i="3"/>
  <c r="W19" i="3" s="1"/>
  <c r="V18" i="3"/>
  <c r="U17" i="3"/>
  <c r="W17" i="3" s="1"/>
  <c r="I15" i="3"/>
  <c r="Q13" i="3"/>
  <c r="O13" i="3"/>
  <c r="T12" i="3"/>
  <c r="Q11" i="3"/>
  <c r="P11" i="3"/>
  <c r="W11" i="3" s="1"/>
  <c r="O11" i="3"/>
  <c r="I11" i="3"/>
  <c r="H11" i="3"/>
  <c r="J9" i="3"/>
  <c r="W9" i="3" s="1"/>
  <c r="J8" i="3"/>
  <c r="E58" i="3"/>
  <c r="E60" i="3" s="1"/>
  <c r="G74" i="3"/>
  <c r="F73" i="3"/>
  <c r="F72" i="3"/>
  <c r="F68" i="3"/>
  <c r="V58" i="3"/>
  <c r="E63" i="3" s="1"/>
  <c r="F63" i="3" s="1"/>
  <c r="T58" i="3"/>
  <c r="T60" i="3" s="1"/>
  <c r="S58" i="3"/>
  <c r="S60" i="3" s="1"/>
  <c r="R58" i="3"/>
  <c r="R60" i="3" s="1"/>
  <c r="N58" i="3"/>
  <c r="M58" i="3"/>
  <c r="M60" i="3" s="1"/>
  <c r="K58" i="3"/>
  <c r="K60" i="3" s="1"/>
  <c r="I58" i="3"/>
  <c r="I60" i="3" s="1"/>
  <c r="H58" i="3"/>
  <c r="H60" i="3" s="1"/>
  <c r="G58" i="3"/>
  <c r="E71" i="3" s="1"/>
  <c r="F71" i="3" s="1"/>
  <c r="W56" i="3"/>
  <c r="W53" i="3"/>
  <c r="W52" i="3"/>
  <c r="W51" i="3"/>
  <c r="W50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8" i="3"/>
  <c r="W27" i="3"/>
  <c r="W26" i="3"/>
  <c r="W23" i="3"/>
  <c r="W21" i="3"/>
  <c r="W18" i="3"/>
  <c r="W15" i="3"/>
  <c r="W12" i="3"/>
  <c r="W4" i="3"/>
  <c r="W18" i="1"/>
  <c r="P58" i="3" l="1"/>
  <c r="P60" i="3" s="1"/>
  <c r="U58" i="3"/>
  <c r="U60" i="3" s="1"/>
  <c r="O58" i="3"/>
  <c r="O60" i="3" s="1"/>
  <c r="W49" i="3"/>
  <c r="L58" i="3"/>
  <c r="E66" i="3" s="1"/>
  <c r="F66" i="3" s="1"/>
  <c r="J58" i="3"/>
  <c r="E64" i="3" s="1"/>
  <c r="F64" i="3" s="1"/>
  <c r="E70" i="3"/>
  <c r="F70" i="3" s="1"/>
  <c r="Q58" i="3"/>
  <c r="Q60" i="3" s="1"/>
  <c r="W13" i="3"/>
  <c r="E69" i="3"/>
  <c r="F69" i="3" s="1"/>
  <c r="E65" i="3"/>
  <c r="F65" i="3" s="1"/>
  <c r="W8" i="3"/>
  <c r="E62" i="3"/>
  <c r="F62" i="3" s="1"/>
  <c r="F60" i="3"/>
  <c r="N60" i="3"/>
  <c r="V60" i="3"/>
  <c r="G60" i="3"/>
  <c r="W4" i="1"/>
  <c r="W56" i="1"/>
  <c r="G74" i="1"/>
  <c r="F68" i="1"/>
  <c r="F72" i="1"/>
  <c r="F73" i="1"/>
  <c r="H58" i="1"/>
  <c r="H60" i="1" s="1"/>
  <c r="N58" i="1"/>
  <c r="N60" i="1" s="1"/>
  <c r="O58" i="1"/>
  <c r="P58" i="1"/>
  <c r="P60" i="1" s="1"/>
  <c r="Q58" i="1"/>
  <c r="Q60" i="1" s="1"/>
  <c r="R58" i="1"/>
  <c r="R60" i="1" s="1"/>
  <c r="S58" i="1"/>
  <c r="S60" i="1" s="1"/>
  <c r="T58" i="1"/>
  <c r="E69" i="1" s="1"/>
  <c r="F69" i="1" s="1"/>
  <c r="U58" i="1"/>
  <c r="E70" i="1" s="1"/>
  <c r="F70" i="1" s="1"/>
  <c r="V58" i="1"/>
  <c r="E63" i="1" s="1"/>
  <c r="F63" i="1" s="1"/>
  <c r="M58" i="1"/>
  <c r="M60" i="1" s="1"/>
  <c r="L58" i="1"/>
  <c r="L60" i="1" s="1"/>
  <c r="K58" i="1"/>
  <c r="K60" i="1" s="1"/>
  <c r="J58" i="1"/>
  <c r="J60" i="1" s="1"/>
  <c r="G58" i="1"/>
  <c r="E71" i="1" s="1"/>
  <c r="F71" i="1" s="1"/>
  <c r="F58" i="1"/>
  <c r="F60" i="1" s="1"/>
  <c r="E58" i="1"/>
  <c r="E60" i="1" s="1"/>
  <c r="W15" i="1"/>
  <c r="W9" i="1"/>
  <c r="W12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1" i="1"/>
  <c r="W52" i="1"/>
  <c r="W53" i="1"/>
  <c r="W17" i="1"/>
  <c r="W13" i="1"/>
  <c r="W11" i="1"/>
  <c r="W8" i="1"/>
  <c r="L65" i="3" l="1"/>
  <c r="M65" i="3" s="1"/>
  <c r="E67" i="3"/>
  <c r="F67" i="3" s="1"/>
  <c r="L60" i="3"/>
  <c r="J60" i="3"/>
  <c r="W58" i="3"/>
  <c r="F74" i="3"/>
  <c r="N65" i="3" s="1"/>
  <c r="E74" i="3"/>
  <c r="V60" i="1"/>
  <c r="U60" i="1"/>
  <c r="I58" i="1"/>
  <c r="I60" i="1" s="1"/>
  <c r="T60" i="1"/>
  <c r="G60" i="1"/>
  <c r="L65" i="1"/>
  <c r="M65" i="1" s="1"/>
  <c r="O60" i="1"/>
  <c r="E67" i="1"/>
  <c r="F67" i="1" s="1"/>
  <c r="W58" i="1"/>
  <c r="E65" i="1"/>
  <c r="F65" i="1" s="1"/>
  <c r="E62" i="1"/>
  <c r="F62" i="1" s="1"/>
  <c r="E66" i="1"/>
  <c r="F66" i="1" s="1"/>
  <c r="E64" i="1" l="1"/>
  <c r="F64" i="1" s="1"/>
  <c r="F74" i="1" s="1"/>
  <c r="N65" i="1" s="1"/>
  <c r="E74" i="1" l="1"/>
</calcChain>
</file>

<file path=xl/sharedStrings.xml><?xml version="1.0" encoding="utf-8"?>
<sst xmlns="http://schemas.openxmlformats.org/spreadsheetml/2006/main" count="294" uniqueCount="147">
  <si>
    <t>cooperation</t>
  </si>
  <si>
    <t>art 35</t>
  </si>
  <si>
    <t>animal welfare</t>
  </si>
  <si>
    <t>art 33</t>
  </si>
  <si>
    <t>Natura 2000 and Water Framework Directive payments</t>
  </si>
  <si>
    <t>art 30</t>
  </si>
  <si>
    <t>organic farming</t>
  </si>
  <si>
    <t>art 29</t>
  </si>
  <si>
    <t>setting up of producer groups and organisations</t>
  </si>
  <si>
    <t>art 27</t>
  </si>
  <si>
    <t>investments in forest area development and improvement of the viability of forests</t>
  </si>
  <si>
    <t>art 21</t>
  </si>
  <si>
    <t>basic services and village renewal in rural areas</t>
  </si>
  <si>
    <t>art 20</t>
  </si>
  <si>
    <t>farm and business development</t>
  </si>
  <si>
    <t>art 19</t>
  </si>
  <si>
    <t>investments in physical assets</t>
  </si>
  <si>
    <t>art 17</t>
  </si>
  <si>
    <t>quality schemes for agricultural products and foodstuffs</t>
  </si>
  <si>
    <t>art 16</t>
  </si>
  <si>
    <t>knowledge transfer and information actions</t>
  </si>
  <si>
    <t>art 14</t>
  </si>
  <si>
    <t>payments to areas facing natural or other specific constraints</t>
  </si>
  <si>
    <t>art 31</t>
  </si>
  <si>
    <t>6c</t>
  </si>
  <si>
    <t>6b</t>
  </si>
  <si>
    <t>6a</t>
  </si>
  <si>
    <t>5e</t>
  </si>
  <si>
    <t>5d</t>
  </si>
  <si>
    <t>5c</t>
  </si>
  <si>
    <t>5b</t>
  </si>
  <si>
    <t>5a</t>
  </si>
  <si>
    <t>4c</t>
  </si>
  <si>
    <t>4b</t>
  </si>
  <si>
    <t>4a</t>
  </si>
  <si>
    <t>3b</t>
  </si>
  <si>
    <t>3a</t>
  </si>
  <si>
    <t>2b</t>
  </si>
  <si>
    <t>2a</t>
  </si>
  <si>
    <t>1c</t>
  </si>
  <si>
    <t>1b</t>
  </si>
  <si>
    <t>1a</t>
  </si>
  <si>
    <t>code</t>
  </si>
  <si>
    <t>Measure</t>
  </si>
  <si>
    <t>P6</t>
  </si>
  <si>
    <t>P5</t>
  </si>
  <si>
    <t>P4</t>
  </si>
  <si>
    <t>P3</t>
  </si>
  <si>
    <t>P2</t>
  </si>
  <si>
    <t>P1</t>
  </si>
  <si>
    <t>Codification of measures</t>
  </si>
  <si>
    <t>1.1</t>
  </si>
  <si>
    <t>1.2</t>
  </si>
  <si>
    <t>1.3</t>
  </si>
  <si>
    <t>support for vocational training and skills acquisition actions</t>
  </si>
  <si>
    <t>support for demonstration projects/information actions</t>
  </si>
  <si>
    <t>Support for short-term farm and forest management exchange as well as farm and forest visits</t>
  </si>
  <si>
    <t>TOTAL</t>
  </si>
  <si>
    <t>3.1</t>
  </si>
  <si>
    <t>3.2</t>
  </si>
  <si>
    <t>Support for new participation in quality schemes</t>
  </si>
  <si>
    <t>Support for information and promotion activities implemented by groups of producers in the internal market</t>
  </si>
  <si>
    <t xml:space="preserve">4.1 </t>
  </si>
  <si>
    <t>Support for investments in agriculture holdings</t>
  </si>
  <si>
    <t>4.2</t>
  </si>
  <si>
    <t>Support for investments in processing/marketing and/or development of agriculture products</t>
  </si>
  <si>
    <t xml:space="preserve">4.3 </t>
  </si>
  <si>
    <t>Support for investments in infastracture related to development, modernisation or adaptation of agriculture and forestry</t>
  </si>
  <si>
    <t>6.1</t>
  </si>
  <si>
    <t>Business start up aid for young farmers</t>
  </si>
  <si>
    <t>support for investments in broadband infrastructure</t>
  </si>
  <si>
    <t>7.4</t>
  </si>
  <si>
    <t>support for investments in the setting-up, improvement or expansion of localbasic services for the rural population</t>
  </si>
  <si>
    <t>7.5</t>
  </si>
  <si>
    <t>support for investments for public use in recreational infrastructure, tourist information and small scale tourim infrastructure</t>
  </si>
  <si>
    <t>8.1</t>
  </si>
  <si>
    <t>9.1</t>
  </si>
  <si>
    <t>art 28</t>
  </si>
  <si>
    <t>agri - environment climate</t>
  </si>
  <si>
    <t>10.1</t>
  </si>
  <si>
    <t>setting up of producer groups and organisation in the tagruculture and forestry sectos</t>
  </si>
  <si>
    <t>payment for agri-environment climate commitments</t>
  </si>
  <si>
    <t>11.1</t>
  </si>
  <si>
    <t>11.2</t>
  </si>
  <si>
    <t>payment to convert to organic farming practices and methods</t>
  </si>
  <si>
    <t>payment to maintain to organic farming practices and methods</t>
  </si>
  <si>
    <t>12.1</t>
  </si>
  <si>
    <t>compensation payment for Natura 2000 agricultural areas</t>
  </si>
  <si>
    <t>compensation payment for Natura 2000 forest areas</t>
  </si>
  <si>
    <t>compensation payment for agricultural areas included in river basin management plans</t>
  </si>
  <si>
    <t>13.1,</t>
  </si>
  <si>
    <t>13.2</t>
  </si>
  <si>
    <t>13.3</t>
  </si>
  <si>
    <t>compensation payment in mountain areas</t>
  </si>
  <si>
    <t>compensation payment for other areas affected by specific constraints</t>
  </si>
  <si>
    <t>compensation payment per ha of UAA in areas with specific constraints</t>
  </si>
  <si>
    <t>payment for animal welfare</t>
  </si>
  <si>
    <t>16.2</t>
  </si>
  <si>
    <t>support for pilot projects</t>
  </si>
  <si>
    <t>support for the development of new products, practices, processes and technologies</t>
  </si>
  <si>
    <t>16.4</t>
  </si>
  <si>
    <t>support for horizontal and vertical co-operation among supply chain acor for the establishment and development of short sypply chains and local markets</t>
  </si>
  <si>
    <t>support for promotion activities in a local context relating to the development of short supply chains and local markets</t>
  </si>
  <si>
    <t>art 42-44</t>
  </si>
  <si>
    <t>LEADER</t>
  </si>
  <si>
    <t>19.2</t>
  </si>
  <si>
    <t>Support for implementation of operations under the LDS</t>
  </si>
  <si>
    <t>19.3</t>
  </si>
  <si>
    <t>Support for cooperation</t>
  </si>
  <si>
    <t>19.4</t>
  </si>
  <si>
    <t>Support for running and animation cost</t>
  </si>
  <si>
    <t xml:space="preserve">20.1 </t>
  </si>
  <si>
    <t>Support for prepatation and implementation of the programme</t>
  </si>
  <si>
    <t>art 52</t>
  </si>
  <si>
    <t>Technical assistance</t>
  </si>
  <si>
    <t>20.2</t>
  </si>
  <si>
    <t>support for set up and running of the NRN</t>
  </si>
  <si>
    <t>~</t>
  </si>
  <si>
    <t>Early retirement</t>
  </si>
  <si>
    <t>support for afforestation/creation of woodland establishment cost -22-</t>
  </si>
  <si>
    <t>support for afforestation/creation of woodland maintenance/income foregone premium per ha - 22-</t>
  </si>
  <si>
    <t>support for prevention and restoration of damage to forests from forest fires and natural disasters -24-</t>
  </si>
  <si>
    <t>support for investments improving the resilience and enviromental value as well as the mitigatin potential of forest ecosystem -25-</t>
  </si>
  <si>
    <t>12.2</t>
  </si>
  <si>
    <t>12.3</t>
  </si>
  <si>
    <t>Total per Focus Area</t>
  </si>
  <si>
    <t>Προτεραιότητα 1</t>
  </si>
  <si>
    <t>Προτεραιότητα 2</t>
  </si>
  <si>
    <t>Προτεραιότητα 3</t>
  </si>
  <si>
    <t>Προτεραιότητα 4</t>
  </si>
  <si>
    <t>Προτεραιότητα 5</t>
  </si>
  <si>
    <t>Προτεραιότητα 6</t>
  </si>
  <si>
    <t>Προτεραιότητα 7</t>
  </si>
  <si>
    <t>Προτεραιότητα 8</t>
  </si>
  <si>
    <t>Προτεραιότητα 9</t>
  </si>
  <si>
    <t>Προτεραιότητα 10</t>
  </si>
  <si>
    <t>Προτεραιότητα 11</t>
  </si>
  <si>
    <t>Τεχνική Βοήθεια</t>
  </si>
  <si>
    <t>Total</t>
  </si>
  <si>
    <t>Δημόσια Δαπάνη</t>
  </si>
  <si>
    <t>Ευρωπαϊκή Συμμετοχή</t>
  </si>
  <si>
    <t>Κλιματικές Αλλαγές</t>
  </si>
  <si>
    <t>Ευρωπαϊκά</t>
  </si>
  <si>
    <t>Ποσοστό επι του συνολικού προϋπολογισμου</t>
  </si>
  <si>
    <t>support for investments in small scales infrastructure</t>
  </si>
  <si>
    <t>ΠΑΡΑΡΤΗΜΑ V</t>
  </si>
  <si>
    <t>ΧΡΗΜΑΤΟΔΟΤΙΚΟΣ ΠΙΝΑΚΑΣ ΠΡΟΓΡΑΜΜΜΑΤΟΣ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</si>
</sst>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\ _€"/>
  </numFmts>
  <fonts count="14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2"/>
      <charset val="161"/>
    </font>
    <font>
      <sz val="9"/>
      <name val="Arial"/>
      <family val="2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sz val="9"/>
      <color theme="1"/>
      <name val="Arial"/>
      <family val="2"/>
    </font>
    <font>
      <b/>
      <sz val="11"/>
      <color rgb="FFFF0000"/>
      <name val="Arial"/>
      <family val="2"/>
      <charset val="161"/>
    </font>
    <font>
      <sz val="9"/>
      <color rgb="FFFF0000"/>
      <name val="Arial"/>
      <family val="2"/>
    </font>
    <font>
      <b/>
      <sz val="36"/>
      <color rgb="FF0070C0"/>
      <name val="MS Sans Serif"/>
      <family val="2"/>
    </font>
    <font>
      <b/>
      <sz val="18"/>
      <color rgb="FF0070C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1">
    <xf numFmtId="0" fontId="0" fillId="0" borderId="0" xfId="0"/>
    <xf numFmtId="0" fontId="1" fillId="0" borderId="0" xfId="1" applyAlignment="1">
      <alignment vertical="center" wrapText="1"/>
    </xf>
    <xf numFmtId="0" fontId="1" fillId="0" borderId="0" xfId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5" xfId="1" applyBorder="1" applyAlignment="1">
      <alignment horizontal="left" vertical="center" wrapText="1"/>
    </xf>
    <xf numFmtId="0" fontId="1" fillId="0" borderId="6" xfId="1" applyBorder="1" applyAlignment="1">
      <alignment vertical="center" wrapText="1"/>
    </xf>
    <xf numFmtId="0" fontId="1" fillId="0" borderId="5" xfId="1" applyBorder="1" applyAlignment="1">
      <alignment horizontal="left" vertical="center"/>
    </xf>
    <xf numFmtId="0" fontId="2" fillId="0" borderId="10" xfId="1" applyFont="1" applyBorder="1" applyAlignment="1">
      <alignment horizontal="left" vertical="center" wrapText="1"/>
    </xf>
    <xf numFmtId="0" fontId="1" fillId="0" borderId="7" xfId="1" applyBorder="1" applyAlignment="1">
      <alignment horizontal="left" vertical="center" wrapText="1"/>
    </xf>
    <xf numFmtId="0" fontId="1" fillId="0" borderId="11" xfId="1" applyBorder="1" applyAlignment="1">
      <alignment vertical="center" wrapText="1"/>
    </xf>
    <xf numFmtId="0" fontId="1" fillId="0" borderId="12" xfId="1" applyBorder="1" applyAlignment="1">
      <alignment vertical="center" wrapText="1"/>
    </xf>
    <xf numFmtId="0" fontId="2" fillId="0" borderId="16" xfId="1" applyFont="1" applyBorder="1" applyAlignment="1">
      <alignment horizontal="left" vertical="center" wrapText="1"/>
    </xf>
    <xf numFmtId="0" fontId="1" fillId="0" borderId="17" xfId="1" applyBorder="1" applyAlignment="1">
      <alignment horizontal="left" vertical="center" wrapText="1"/>
    </xf>
    <xf numFmtId="0" fontId="1" fillId="0" borderId="18" xfId="1" applyBorder="1" applyAlignment="1">
      <alignment vertical="center" wrapText="1"/>
    </xf>
    <xf numFmtId="0" fontId="1" fillId="0" borderId="19" xfId="1" applyBorder="1" applyAlignment="1">
      <alignment vertical="center" wrapText="1"/>
    </xf>
    <xf numFmtId="0" fontId="1" fillId="0" borderId="10" xfId="1" applyBorder="1" applyAlignment="1">
      <alignment vertical="center" wrapText="1"/>
    </xf>
    <xf numFmtId="0" fontId="2" fillId="0" borderId="16" xfId="1" applyFont="1" applyFill="1" applyBorder="1" applyAlignment="1">
      <alignment horizontal="left"/>
    </xf>
    <xf numFmtId="0" fontId="2" fillId="0" borderId="17" xfId="1" applyFont="1" applyFill="1" applyBorder="1" applyAlignment="1">
      <alignment horizontal="left"/>
    </xf>
    <xf numFmtId="0" fontId="2" fillId="0" borderId="18" xfId="1" applyFont="1" applyFill="1" applyBorder="1" applyAlignment="1">
      <alignment horizontal="left"/>
    </xf>
    <xf numFmtId="0" fontId="2" fillId="0" borderId="28" xfId="1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1" fillId="0" borderId="31" xfId="1" applyBorder="1" applyAlignment="1">
      <alignment vertical="center" wrapText="1"/>
    </xf>
    <xf numFmtId="0" fontId="1" fillId="0" borderId="1" xfId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1" fillId="0" borderId="0" xfId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1" fillId="0" borderId="0" xfId="1" applyBorder="1" applyAlignment="1">
      <alignment vertical="center" wrapText="1"/>
    </xf>
    <xf numFmtId="164" fontId="1" fillId="0" borderId="19" xfId="1" applyNumberFormat="1" applyBorder="1" applyAlignment="1">
      <alignment vertical="center" wrapText="1"/>
    </xf>
    <xf numFmtId="0" fontId="5" fillId="0" borderId="21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left" vertical="center" wrapText="1"/>
    </xf>
    <xf numFmtId="165" fontId="6" fillId="0" borderId="9" xfId="1" applyNumberFormat="1" applyFont="1" applyBorder="1" applyAlignment="1">
      <alignment vertical="center" wrapText="1"/>
    </xf>
    <xf numFmtId="165" fontId="6" fillId="0" borderId="8" xfId="1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5" fontId="6" fillId="0" borderId="3" xfId="1" applyNumberFormat="1" applyFont="1" applyBorder="1" applyAlignment="1">
      <alignment vertical="center" wrapText="1"/>
    </xf>
    <xf numFmtId="165" fontId="6" fillId="0" borderId="2" xfId="1" applyNumberFormat="1" applyFont="1" applyBorder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21" xfId="1" applyNumberFormat="1" applyFont="1" applyBorder="1" applyAlignment="1">
      <alignment horizontal="center" vertical="center" wrapText="1"/>
    </xf>
    <xf numFmtId="165" fontId="6" fillId="0" borderId="20" xfId="1" applyNumberFormat="1" applyFont="1" applyBorder="1" applyAlignment="1">
      <alignment horizontal="center" vertical="center" wrapText="1"/>
    </xf>
    <xf numFmtId="165" fontId="1" fillId="0" borderId="19" xfId="1" applyNumberFormat="1" applyBorder="1" applyAlignment="1">
      <alignment vertical="center" wrapText="1"/>
    </xf>
    <xf numFmtId="0" fontId="1" fillId="0" borderId="33" xfId="1" applyBorder="1" applyAlignment="1">
      <alignment vertical="center" wrapText="1"/>
    </xf>
    <xf numFmtId="0" fontId="1" fillId="0" borderId="13" xfId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5" fillId="0" borderId="30" xfId="1" applyFont="1" applyBorder="1" applyAlignment="1">
      <alignment horizontal="left" vertical="center" wrapText="1"/>
    </xf>
    <xf numFmtId="165" fontId="6" fillId="0" borderId="15" xfId="1" applyNumberFormat="1" applyFont="1" applyBorder="1" applyAlignment="1">
      <alignment vertical="center" wrapText="1"/>
    </xf>
    <xf numFmtId="165" fontId="6" fillId="0" borderId="14" xfId="1" applyNumberFormat="1" applyFont="1" applyBorder="1" applyAlignment="1">
      <alignment vertical="center" wrapText="1"/>
    </xf>
    <xf numFmtId="165" fontId="6" fillId="0" borderId="13" xfId="1" applyNumberFormat="1" applyFont="1" applyBorder="1" applyAlignment="1">
      <alignment vertical="center" wrapText="1"/>
    </xf>
    <xf numFmtId="164" fontId="1" fillId="0" borderId="12" xfId="1" applyNumberFormat="1" applyBorder="1" applyAlignment="1">
      <alignment vertical="center" wrapText="1"/>
    </xf>
    <xf numFmtId="0" fontId="1" fillId="0" borderId="7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1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17" xfId="1" applyFont="1" applyBorder="1" applyAlignment="1">
      <alignment horizontal="left" vertical="center" wrapText="1"/>
    </xf>
    <xf numFmtId="0" fontId="1" fillId="0" borderId="34" xfId="1" applyBorder="1" applyAlignment="1">
      <alignment vertical="center" wrapText="1"/>
    </xf>
    <xf numFmtId="0" fontId="1" fillId="0" borderId="35" xfId="1" applyBorder="1" applyAlignment="1">
      <alignment horizontal="left" vertical="center" wrapText="1"/>
    </xf>
    <xf numFmtId="0" fontId="1" fillId="0" borderId="36" xfId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165" fontId="6" fillId="0" borderId="37" xfId="1" applyNumberFormat="1" applyFont="1" applyBorder="1" applyAlignment="1">
      <alignment vertical="center" wrapText="1"/>
    </xf>
    <xf numFmtId="165" fontId="6" fillId="0" borderId="38" xfId="1" applyNumberFormat="1" applyFont="1" applyBorder="1" applyAlignment="1">
      <alignment vertical="center" wrapText="1"/>
    </xf>
    <xf numFmtId="165" fontId="6" fillId="0" borderId="35" xfId="1" applyNumberFormat="1" applyFont="1" applyBorder="1" applyAlignment="1">
      <alignment vertical="center" wrapText="1"/>
    </xf>
    <xf numFmtId="0" fontId="1" fillId="0" borderId="36" xfId="1" applyBorder="1" applyAlignment="1">
      <alignment vertical="center" wrapText="1"/>
    </xf>
    <xf numFmtId="0" fontId="1" fillId="0" borderId="41" xfId="1" applyBorder="1" applyAlignment="1">
      <alignment vertical="center" wrapText="1"/>
    </xf>
    <xf numFmtId="0" fontId="1" fillId="0" borderId="42" xfId="1" applyBorder="1" applyAlignment="1">
      <alignment horizontal="left" vertical="center" wrapText="1"/>
    </xf>
    <xf numFmtId="0" fontId="2" fillId="0" borderId="43" xfId="1" applyFont="1" applyBorder="1" applyAlignment="1">
      <alignment horizontal="left" vertical="center" wrapText="1"/>
    </xf>
    <xf numFmtId="0" fontId="5" fillId="0" borderId="44" xfId="1" applyFont="1" applyBorder="1" applyAlignment="1">
      <alignment horizontal="left" vertical="center" wrapText="1"/>
    </xf>
    <xf numFmtId="165" fontId="6" fillId="0" borderId="45" xfId="1" applyNumberFormat="1" applyFont="1" applyBorder="1" applyAlignment="1">
      <alignment vertical="center" wrapText="1"/>
    </xf>
    <xf numFmtId="165" fontId="6" fillId="0" borderId="46" xfId="1" applyNumberFormat="1" applyFont="1" applyBorder="1" applyAlignment="1">
      <alignment vertical="center" wrapText="1"/>
    </xf>
    <xf numFmtId="165" fontId="6" fillId="0" borderId="42" xfId="1" applyNumberFormat="1" applyFont="1" applyBorder="1" applyAlignment="1">
      <alignment vertical="center" wrapText="1"/>
    </xf>
    <xf numFmtId="0" fontId="1" fillId="0" borderId="43" xfId="1" applyBorder="1" applyAlignment="1">
      <alignment vertical="center" wrapText="1"/>
    </xf>
    <xf numFmtId="165" fontId="6" fillId="0" borderId="14" xfId="1" applyNumberFormat="1" applyFont="1" applyBorder="1" applyAlignment="1">
      <alignment horizontal="center" vertical="center" wrapText="1"/>
    </xf>
    <xf numFmtId="165" fontId="6" fillId="0" borderId="30" xfId="1" applyNumberFormat="1" applyFont="1" applyBorder="1" applyAlignment="1">
      <alignment horizontal="center" vertical="center" wrapText="1"/>
    </xf>
    <xf numFmtId="165" fontId="6" fillId="0" borderId="48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29" xfId="1" applyNumberFormat="1" applyFont="1" applyBorder="1" applyAlignment="1">
      <alignment horizontal="center" vertical="center" wrapText="1"/>
    </xf>
    <xf numFmtId="165" fontId="6" fillId="0" borderId="39" xfId="1" applyNumberFormat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left" vertical="center" wrapText="1"/>
    </xf>
    <xf numFmtId="165" fontId="6" fillId="0" borderId="10" xfId="1" applyNumberFormat="1" applyFont="1" applyBorder="1" applyAlignment="1">
      <alignment vertical="center" wrapText="1"/>
    </xf>
    <xf numFmtId="165" fontId="6" fillId="0" borderId="19" xfId="1" applyNumberFormat="1" applyFont="1" applyBorder="1" applyAlignment="1">
      <alignment vertical="center" wrapText="1"/>
    </xf>
    <xf numFmtId="165" fontId="6" fillId="0" borderId="12" xfId="1" applyNumberFormat="1" applyFont="1" applyBorder="1" applyAlignment="1">
      <alignment vertical="center" wrapText="1"/>
    </xf>
    <xf numFmtId="165" fontId="6" fillId="0" borderId="11" xfId="1" applyNumberFormat="1" applyFont="1" applyBorder="1" applyAlignment="1">
      <alignment vertical="center" wrapText="1"/>
    </xf>
    <xf numFmtId="165" fontId="6" fillId="0" borderId="31" xfId="1" applyNumberFormat="1" applyFont="1" applyBorder="1" applyAlignment="1">
      <alignment vertical="center" wrapText="1"/>
    </xf>
    <xf numFmtId="165" fontId="6" fillId="0" borderId="33" xfId="1" applyNumberFormat="1" applyFont="1" applyBorder="1" applyAlignment="1">
      <alignment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165" fontId="7" fillId="0" borderId="16" xfId="1" applyNumberFormat="1" applyFont="1" applyFill="1" applyBorder="1" applyAlignment="1">
      <alignment horizontal="center"/>
    </xf>
    <xf numFmtId="165" fontId="7" fillId="0" borderId="10" xfId="1" applyNumberFormat="1" applyFont="1" applyFill="1" applyBorder="1" applyAlignment="1">
      <alignment horizontal="center" vertical="center" wrapText="1"/>
    </xf>
    <xf numFmtId="165" fontId="7" fillId="0" borderId="19" xfId="1" applyNumberFormat="1" applyFont="1" applyFill="1" applyBorder="1" applyAlignment="1">
      <alignment horizontal="center" vertical="center" wrapText="1"/>
    </xf>
    <xf numFmtId="165" fontId="7" fillId="0" borderId="12" xfId="1" applyNumberFormat="1" applyFont="1" applyFill="1" applyBorder="1" applyAlignment="1">
      <alignment horizontal="center" vertical="center" wrapText="1"/>
    </xf>
    <xf numFmtId="165" fontId="7" fillId="0" borderId="36" xfId="1" applyNumberFormat="1" applyFont="1" applyFill="1" applyBorder="1" applyAlignment="1">
      <alignment horizontal="center" vertical="center" wrapText="1"/>
    </xf>
    <xf numFmtId="165" fontId="7" fillId="0" borderId="43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center" vertical="center" wrapText="1"/>
    </xf>
    <xf numFmtId="0" fontId="8" fillId="2" borderId="21" xfId="1" applyFont="1" applyFill="1" applyBorder="1" applyAlignment="1">
      <alignment horizontal="left" vertical="center" wrapText="1"/>
    </xf>
    <xf numFmtId="165" fontId="8" fillId="2" borderId="3" xfId="1" applyNumberFormat="1" applyFont="1" applyFill="1" applyBorder="1" applyAlignment="1">
      <alignment vertical="center" wrapText="1"/>
    </xf>
    <xf numFmtId="165" fontId="8" fillId="2" borderId="2" xfId="1" applyNumberFormat="1" applyFont="1" applyFill="1" applyBorder="1" applyAlignment="1">
      <alignment vertical="center" wrapText="1"/>
    </xf>
    <xf numFmtId="165" fontId="6" fillId="0" borderId="24" xfId="1" applyNumberFormat="1" applyFont="1" applyBorder="1" applyAlignment="1">
      <alignment horizontal="center" vertical="center" wrapText="1"/>
    </xf>
    <xf numFmtId="165" fontId="6" fillId="0" borderId="23" xfId="1" applyNumberFormat="1" applyFont="1" applyBorder="1" applyAlignment="1">
      <alignment horizontal="center" vertical="center" wrapText="1"/>
    </xf>
    <xf numFmtId="165" fontId="6" fillId="0" borderId="22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165" fontId="6" fillId="0" borderId="23" xfId="1" applyNumberFormat="1" applyFont="1" applyBorder="1" applyAlignment="1">
      <alignment vertical="center" wrapText="1"/>
    </xf>
    <xf numFmtId="165" fontId="6" fillId="0" borderId="22" xfId="1" applyNumberFormat="1" applyFont="1" applyBorder="1" applyAlignment="1">
      <alignment vertical="center" wrapText="1"/>
    </xf>
    <xf numFmtId="165" fontId="6" fillId="0" borderId="21" xfId="1" applyNumberFormat="1" applyFont="1" applyBorder="1" applyAlignment="1">
      <alignment vertical="center" wrapText="1"/>
    </xf>
    <xf numFmtId="165" fontId="6" fillId="0" borderId="20" xfId="1" applyNumberFormat="1" applyFont="1" applyBorder="1" applyAlignment="1">
      <alignment vertical="center" wrapText="1"/>
    </xf>
    <xf numFmtId="165" fontId="8" fillId="2" borderId="21" xfId="1" applyNumberFormat="1" applyFont="1" applyFill="1" applyBorder="1" applyAlignment="1">
      <alignment vertical="center" wrapText="1"/>
    </xf>
    <xf numFmtId="0" fontId="2" fillId="0" borderId="5" xfId="1" applyFont="1" applyBorder="1" applyAlignment="1">
      <alignment horizontal="left" vertical="center" wrapText="1"/>
    </xf>
    <xf numFmtId="165" fontId="6" fillId="0" borderId="5" xfId="1" applyNumberFormat="1" applyFont="1" applyBorder="1" applyAlignment="1">
      <alignment vertical="center" wrapText="1"/>
    </xf>
    <xf numFmtId="0" fontId="4" fillId="0" borderId="5" xfId="1" applyFont="1" applyBorder="1" applyAlignment="1">
      <alignment horizontal="right" vertical="center" wrapText="1"/>
    </xf>
    <xf numFmtId="165" fontId="8" fillId="0" borderId="5" xfId="1" applyNumberFormat="1" applyFont="1" applyBorder="1" applyAlignment="1">
      <alignment vertical="center" wrapText="1"/>
    </xf>
    <xf numFmtId="9" fontId="6" fillId="0" borderId="21" xfId="1" applyNumberFormat="1" applyFont="1" applyBorder="1" applyAlignment="1">
      <alignment vertical="center" wrapText="1"/>
    </xf>
    <xf numFmtId="165" fontId="6" fillId="0" borderId="39" xfId="1" applyNumberFormat="1" applyFont="1" applyBorder="1" applyAlignment="1">
      <alignment vertical="center" wrapText="1"/>
    </xf>
    <xf numFmtId="165" fontId="9" fillId="3" borderId="51" xfId="1" applyNumberFormat="1" applyFont="1" applyFill="1" applyBorder="1" applyAlignment="1">
      <alignment horizontal="center" vertical="center" wrapText="1"/>
    </xf>
    <xf numFmtId="165" fontId="9" fillId="3" borderId="52" xfId="1" applyNumberFormat="1" applyFont="1" applyFill="1" applyBorder="1" applyAlignment="1">
      <alignment horizontal="center" vertical="center" wrapText="1"/>
    </xf>
    <xf numFmtId="165" fontId="9" fillId="3" borderId="53" xfId="1" applyNumberFormat="1" applyFont="1" applyFill="1" applyBorder="1" applyAlignment="1">
      <alignment horizontal="center" vertical="center" wrapText="1"/>
    </xf>
    <xf numFmtId="0" fontId="1" fillId="0" borderId="54" xfId="1" applyBorder="1" applyAlignment="1">
      <alignment horizontal="center" vertical="center" wrapText="1"/>
    </xf>
    <xf numFmtId="165" fontId="6" fillId="0" borderId="55" xfId="1" applyNumberFormat="1" applyFont="1" applyBorder="1" applyAlignment="1">
      <alignment horizontal="center" vertical="center" wrapText="1"/>
    </xf>
    <xf numFmtId="9" fontId="6" fillId="0" borderId="56" xfId="1" applyNumberFormat="1" applyFont="1" applyBorder="1" applyAlignment="1">
      <alignment horizontal="center" vertical="center" wrapText="1"/>
    </xf>
    <xf numFmtId="165" fontId="10" fillId="0" borderId="19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Border="1" applyAlignment="1">
      <alignment vertical="center" wrapText="1"/>
    </xf>
    <xf numFmtId="165" fontId="11" fillId="0" borderId="2" xfId="1" applyNumberFormat="1" applyFont="1" applyBorder="1" applyAlignment="1">
      <alignment vertical="center" wrapText="1"/>
    </xf>
    <xf numFmtId="165" fontId="11" fillId="0" borderId="19" xfId="1" applyNumberFormat="1" applyFont="1" applyBorder="1" applyAlignment="1">
      <alignment vertical="center" wrapText="1"/>
    </xf>
    <xf numFmtId="165" fontId="11" fillId="0" borderId="15" xfId="1" applyNumberFormat="1" applyFont="1" applyBorder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12" xfId="1" applyNumberFormat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29" xfId="1" applyNumberFormat="1" applyFont="1" applyBorder="1" applyAlignment="1">
      <alignment horizontal="center" vertical="center" wrapText="1"/>
    </xf>
    <xf numFmtId="165" fontId="6" fillId="0" borderId="39" xfId="1" applyNumberFormat="1" applyFont="1" applyBorder="1" applyAlignment="1">
      <alignment horizontal="center" vertical="center" wrapText="1"/>
    </xf>
    <xf numFmtId="165" fontId="6" fillId="0" borderId="24" xfId="1" applyNumberFormat="1" applyFont="1" applyBorder="1" applyAlignment="1">
      <alignment horizontal="center" vertical="center" wrapText="1"/>
    </xf>
    <xf numFmtId="165" fontId="6" fillId="0" borderId="23" xfId="1" applyNumberFormat="1" applyFont="1" applyBorder="1" applyAlignment="1">
      <alignment horizontal="center" vertical="center" wrapText="1"/>
    </xf>
    <xf numFmtId="165" fontId="6" fillId="0" borderId="22" xfId="1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21" xfId="1" applyNumberFormat="1" applyFont="1" applyBorder="1" applyAlignment="1">
      <alignment horizontal="center" vertical="center" wrapText="1"/>
    </xf>
    <xf numFmtId="165" fontId="6" fillId="0" borderId="20" xfId="1" applyNumberFormat="1" applyFont="1" applyBorder="1" applyAlignment="1">
      <alignment horizontal="center" vertical="center" wrapText="1"/>
    </xf>
    <xf numFmtId="165" fontId="8" fillId="0" borderId="12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16" xfId="1" applyNumberFormat="1" applyFont="1" applyFill="1" applyBorder="1" applyAlignment="1">
      <alignment horizontal="center"/>
    </xf>
    <xf numFmtId="165" fontId="8" fillId="0" borderId="10" xfId="1" applyNumberFormat="1" applyFont="1" applyFill="1" applyBorder="1" applyAlignment="1">
      <alignment horizontal="center" vertical="center" wrapText="1"/>
    </xf>
    <xf numFmtId="165" fontId="8" fillId="0" borderId="19" xfId="1" applyNumberFormat="1" applyFont="1" applyFill="1" applyBorder="1" applyAlignment="1">
      <alignment horizontal="center" vertical="center" wrapText="1"/>
    </xf>
    <xf numFmtId="165" fontId="8" fillId="0" borderId="36" xfId="1" applyNumberFormat="1" applyFont="1" applyFill="1" applyBorder="1" applyAlignment="1">
      <alignment horizontal="center" vertical="center" wrapText="1"/>
    </xf>
    <xf numFmtId="165" fontId="8" fillId="0" borderId="43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28" xfId="1" applyNumberFormat="1" applyFont="1" applyBorder="1" applyAlignment="1">
      <alignment horizontal="center" vertical="center" wrapText="1"/>
    </xf>
    <xf numFmtId="165" fontId="6" fillId="0" borderId="49" xfId="1" applyNumberFormat="1" applyFont="1" applyBorder="1" applyAlignment="1">
      <alignment horizontal="center" vertical="center" wrapText="1"/>
    </xf>
    <xf numFmtId="165" fontId="6" fillId="0" borderId="40" xfId="1" applyNumberFormat="1" applyFont="1" applyBorder="1" applyAlignment="1">
      <alignment horizontal="center" vertical="center" wrapText="1"/>
    </xf>
    <xf numFmtId="165" fontId="6" fillId="0" borderId="24" xfId="1" applyNumberFormat="1" applyFont="1" applyBorder="1" applyAlignment="1">
      <alignment horizontal="center" vertical="center" wrapText="1"/>
    </xf>
    <xf numFmtId="165" fontId="6" fillId="0" borderId="23" xfId="1" applyNumberFormat="1" applyFont="1" applyBorder="1" applyAlignment="1">
      <alignment horizontal="center" vertical="center" wrapText="1"/>
    </xf>
    <xf numFmtId="165" fontId="6" fillId="0" borderId="22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4" fillId="0" borderId="23" xfId="1" applyFont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65" fontId="6" fillId="0" borderId="57" xfId="1" applyNumberFormat="1" applyFont="1" applyBorder="1" applyAlignment="1">
      <alignment horizontal="center" vertical="center" wrapText="1"/>
    </xf>
    <xf numFmtId="165" fontId="6" fillId="0" borderId="58" xfId="1" applyNumberFormat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29" xfId="1" applyNumberFormat="1" applyFont="1" applyBorder="1" applyAlignment="1">
      <alignment horizontal="center" vertical="center" wrapText="1"/>
    </xf>
    <xf numFmtId="165" fontId="6" fillId="0" borderId="39" xfId="1" applyNumberFormat="1" applyFont="1" applyBorder="1" applyAlignment="1">
      <alignment horizontal="center" vertical="center" wrapText="1"/>
    </xf>
    <xf numFmtId="165" fontId="6" fillId="0" borderId="46" xfId="1" applyNumberFormat="1" applyFont="1" applyBorder="1" applyAlignment="1">
      <alignment horizontal="center" vertical="center" wrapText="1"/>
    </xf>
    <xf numFmtId="165" fontId="6" fillId="0" borderId="44" xfId="1" applyNumberFormat="1" applyFont="1" applyBorder="1" applyAlignment="1">
      <alignment horizontal="center" vertical="center" wrapText="1"/>
    </xf>
    <xf numFmtId="165" fontId="6" fillId="0" borderId="47" xfId="1" applyNumberFormat="1" applyFont="1" applyBorder="1" applyAlignment="1">
      <alignment horizontal="center" vertical="center" wrapText="1"/>
    </xf>
    <xf numFmtId="165" fontId="6" fillId="0" borderId="38" xfId="1" applyNumberFormat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165" fontId="6" fillId="0" borderId="50" xfId="1" applyNumberFormat="1" applyFont="1" applyBorder="1" applyAlignment="1">
      <alignment horizontal="center" vertical="center" wrapText="1"/>
    </xf>
    <xf numFmtId="165" fontId="6" fillId="0" borderId="27" xfId="1" applyNumberFormat="1" applyFont="1" applyBorder="1" applyAlignment="1">
      <alignment horizontal="center" vertical="center" wrapText="1"/>
    </xf>
    <xf numFmtId="165" fontId="6" fillId="0" borderId="26" xfId="1" applyNumberFormat="1" applyFont="1" applyBorder="1" applyAlignment="1">
      <alignment horizontal="center" vertical="center" wrapText="1"/>
    </xf>
    <xf numFmtId="165" fontId="6" fillId="0" borderId="25" xfId="1" applyNumberFormat="1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6" fillId="0" borderId="21" xfId="1" applyNumberFormat="1" applyFont="1" applyBorder="1" applyAlignment="1">
      <alignment horizontal="center" vertical="center" wrapText="1"/>
    </xf>
    <xf numFmtId="165" fontId="6" fillId="0" borderId="20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eorgiou/Downloads/Pt%2007%20M&amp;E%20Indicator%20Plan%20DRAFT%20excel%20tool%20WD%201007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overview exp"/>
      <sheetName val="technical sheet AEM typology"/>
      <sheetName val="tech sheet 2"/>
      <sheetName val="context indicator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2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L2" sqref="L2"/>
    </sheetView>
  </sheetViews>
  <sheetFormatPr defaultRowHeight="15" x14ac:dyDescent="0.25"/>
  <cols>
    <col min="9" max="9" width="7.5703125" customWidth="1"/>
  </cols>
  <sheetData>
    <row r="1" spans="1:10" x14ac:dyDescent="0.25">
      <c r="A1" s="146" t="s">
        <v>145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 x14ac:dyDescent="0.25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 x14ac:dyDescent="0.25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 x14ac:dyDescent="0.25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 x14ac:dyDescent="0.25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2" spans="1:10" x14ac:dyDescent="0.25">
      <c r="A12" s="147" t="s">
        <v>146</v>
      </c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x14ac:dyDescent="0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 x14ac:dyDescent="0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x14ac:dyDescent="0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 x14ac:dyDescent="0.25">
      <c r="A16" s="148"/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x14ac:dyDescent="0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 x14ac:dyDescent="0.25">
      <c r="A18" s="148"/>
      <c r="B18" s="148"/>
      <c r="C18" s="148"/>
      <c r="D18" s="148"/>
      <c r="E18" s="148"/>
      <c r="F18" s="148"/>
      <c r="G18" s="148"/>
      <c r="H18" s="148"/>
      <c r="I18" s="148"/>
      <c r="J18" s="148"/>
    </row>
    <row r="19" spans="1:10" x14ac:dyDescent="0.25">
      <c r="A19" s="148"/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x14ac:dyDescent="0.25">
      <c r="A20" s="148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x14ac:dyDescent="0.25">
      <c r="A21" s="148"/>
      <c r="B21" s="148"/>
      <c r="C21" s="148"/>
      <c r="D21" s="148"/>
      <c r="E21" s="148"/>
      <c r="F21" s="148"/>
      <c r="G21" s="148"/>
      <c r="H21" s="148"/>
      <c r="I21" s="148"/>
      <c r="J21" s="148"/>
    </row>
    <row r="22" spans="1:10" x14ac:dyDescent="0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</row>
  </sheetData>
  <mergeCells count="2">
    <mergeCell ref="A1:J9"/>
    <mergeCell ref="A12:J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4"/>
  <sheetViews>
    <sheetView view="pageBreakPreview" topLeftCell="B28" zoomScale="66" zoomScaleNormal="100" zoomScaleSheetLayoutView="66" workbookViewId="0">
      <selection activeCell="K28" sqref="K27:K28"/>
    </sheetView>
  </sheetViews>
  <sheetFormatPr defaultRowHeight="15" x14ac:dyDescent="0.25"/>
  <cols>
    <col min="1" max="1" width="7" style="1" customWidth="1"/>
    <col min="2" max="2" width="31.85546875" style="1" customWidth="1"/>
    <col min="3" max="3" width="6.85546875" style="2" customWidth="1"/>
    <col min="4" max="4" width="34.5703125" style="2" customWidth="1"/>
    <col min="5" max="5" width="15.5703125" style="1" customWidth="1"/>
    <col min="6" max="6" width="14.7109375" style="1" customWidth="1"/>
    <col min="7" max="7" width="10" style="1" customWidth="1"/>
    <col min="8" max="8" width="16.85546875" style="1" customWidth="1"/>
    <col min="9" max="9" width="18" style="1" customWidth="1"/>
    <col min="10" max="10" width="15.85546875" style="1" customWidth="1"/>
    <col min="11" max="11" width="12.85546875" style="1" customWidth="1"/>
    <col min="12" max="12" width="16.7109375" style="1" customWidth="1"/>
    <col min="13" max="13" width="17.28515625" style="1" customWidth="1"/>
    <col min="14" max="14" width="13.7109375" style="1" customWidth="1"/>
    <col min="15" max="15" width="13" style="1" customWidth="1"/>
    <col min="16" max="17" width="13.42578125" style="1" customWidth="1"/>
    <col min="18" max="18" width="13.7109375" style="1" customWidth="1"/>
    <col min="19" max="19" width="13.42578125" style="1" customWidth="1"/>
    <col min="20" max="20" width="14.140625" style="1" customWidth="1"/>
    <col min="21" max="21" width="16.140625" style="1" customWidth="1"/>
    <col min="22" max="22" width="12.5703125" style="1" customWidth="1"/>
    <col min="23" max="23" width="17" style="95" customWidth="1"/>
    <col min="24" max="24" width="5.7109375" style="1" customWidth="1"/>
    <col min="25" max="16384" width="9.140625" style="1"/>
  </cols>
  <sheetData>
    <row r="1" spans="1:24" ht="21.75" customHeight="1" x14ac:dyDescent="0.25">
      <c r="A1" s="158" t="s">
        <v>50</v>
      </c>
      <c r="B1" s="158"/>
      <c r="C1" s="158"/>
      <c r="D1" s="23"/>
      <c r="E1" s="159" t="s">
        <v>49</v>
      </c>
      <c r="F1" s="157"/>
      <c r="G1" s="160"/>
      <c r="H1" s="159" t="s">
        <v>48</v>
      </c>
      <c r="I1" s="157"/>
      <c r="J1" s="156" t="s">
        <v>47</v>
      </c>
      <c r="K1" s="157"/>
      <c r="L1" s="156" t="s">
        <v>46</v>
      </c>
      <c r="M1" s="157"/>
      <c r="N1" s="157"/>
      <c r="O1" s="156" t="s">
        <v>45</v>
      </c>
      <c r="P1" s="157"/>
      <c r="Q1" s="157"/>
      <c r="R1" s="157"/>
      <c r="S1" s="157"/>
      <c r="T1" s="156" t="s">
        <v>44</v>
      </c>
      <c r="U1" s="157"/>
      <c r="V1" s="161"/>
      <c r="W1" s="88"/>
      <c r="X1" s="29"/>
    </row>
    <row r="2" spans="1:24" ht="15.75" thickBot="1" x14ac:dyDescent="0.3">
      <c r="A2" s="155" t="s">
        <v>43</v>
      </c>
      <c r="B2" s="155"/>
      <c r="C2" s="22" t="s">
        <v>42</v>
      </c>
      <c r="D2" s="22"/>
      <c r="E2" s="20" t="s">
        <v>41</v>
      </c>
      <c r="F2" s="19" t="s">
        <v>40</v>
      </c>
      <c r="G2" s="21" t="s">
        <v>39</v>
      </c>
      <c r="H2" s="20" t="s">
        <v>38</v>
      </c>
      <c r="I2" s="19" t="s">
        <v>37</v>
      </c>
      <c r="J2" s="19" t="s">
        <v>36</v>
      </c>
      <c r="K2" s="19" t="s">
        <v>35</v>
      </c>
      <c r="L2" s="19" t="s">
        <v>34</v>
      </c>
      <c r="M2" s="19" t="s">
        <v>33</v>
      </c>
      <c r="N2" s="19" t="s">
        <v>32</v>
      </c>
      <c r="O2" s="19" t="s">
        <v>31</v>
      </c>
      <c r="P2" s="19" t="s">
        <v>30</v>
      </c>
      <c r="Q2" s="19" t="s">
        <v>29</v>
      </c>
      <c r="R2" s="19" t="s">
        <v>28</v>
      </c>
      <c r="S2" s="19" t="s">
        <v>27</v>
      </c>
      <c r="T2" s="19" t="s">
        <v>26</v>
      </c>
      <c r="U2" s="19" t="s">
        <v>25</v>
      </c>
      <c r="V2" s="18" t="s">
        <v>24</v>
      </c>
      <c r="W2" s="89" t="s">
        <v>57</v>
      </c>
      <c r="X2" s="30"/>
    </row>
    <row r="3" spans="1:24" ht="25.5" customHeight="1" x14ac:dyDescent="0.25">
      <c r="A3" s="11" t="s">
        <v>21</v>
      </c>
      <c r="B3" s="10" t="s">
        <v>20</v>
      </c>
      <c r="C3" s="9">
        <v>1</v>
      </c>
      <c r="D3" s="24"/>
      <c r="E3" s="35"/>
      <c r="F3" s="36"/>
      <c r="G3" s="82"/>
      <c r="H3" s="85"/>
      <c r="I3" s="82"/>
      <c r="J3" s="85"/>
      <c r="K3" s="82"/>
      <c r="L3" s="85"/>
      <c r="M3" s="37"/>
      <c r="N3" s="82"/>
      <c r="O3" s="85"/>
      <c r="P3" s="37"/>
      <c r="Q3" s="37"/>
      <c r="R3" s="37"/>
      <c r="S3" s="82"/>
      <c r="T3" s="85"/>
      <c r="U3" s="37"/>
      <c r="V3" s="17"/>
      <c r="W3" s="90"/>
      <c r="X3" s="31"/>
    </row>
    <row r="4" spans="1:24" ht="25.5" customHeight="1" x14ac:dyDescent="0.25">
      <c r="A4" s="26"/>
      <c r="B4" s="27"/>
      <c r="C4" s="28" t="s">
        <v>51</v>
      </c>
      <c r="D4" s="33" t="s">
        <v>54</v>
      </c>
      <c r="E4" s="122"/>
      <c r="F4" s="123"/>
      <c r="G4" s="124"/>
      <c r="H4" s="86">
        <v>870000</v>
      </c>
      <c r="I4" s="83"/>
      <c r="J4" s="86">
        <v>300000</v>
      </c>
      <c r="K4" s="83"/>
      <c r="L4" s="162">
        <v>150000</v>
      </c>
      <c r="M4" s="153"/>
      <c r="N4" s="163"/>
      <c r="O4" s="86">
        <v>280000</v>
      </c>
      <c r="P4" s="40">
        <v>50000</v>
      </c>
      <c r="Q4" s="40"/>
      <c r="R4" s="40">
        <v>50000</v>
      </c>
      <c r="S4" s="83"/>
      <c r="T4" s="86"/>
      <c r="U4" s="40"/>
      <c r="V4" s="32"/>
      <c r="W4" s="91">
        <f>SUM(E4:V4)</f>
        <v>1700000</v>
      </c>
      <c r="X4" s="31"/>
    </row>
    <row r="5" spans="1:24" ht="25.5" customHeight="1" x14ac:dyDescent="0.25">
      <c r="A5" s="26"/>
      <c r="B5" s="27"/>
      <c r="C5" s="28" t="s">
        <v>52</v>
      </c>
      <c r="D5" s="33" t="s">
        <v>55</v>
      </c>
      <c r="E5" s="122"/>
      <c r="F5" s="123"/>
      <c r="G5" s="124"/>
      <c r="H5" s="86"/>
      <c r="I5" s="83"/>
      <c r="J5" s="86"/>
      <c r="K5" s="83"/>
      <c r="L5" s="86"/>
      <c r="M5" s="40"/>
      <c r="N5" s="83"/>
      <c r="O5" s="86"/>
      <c r="P5" s="40"/>
      <c r="Q5" s="40"/>
      <c r="R5" s="40"/>
      <c r="S5" s="83"/>
      <c r="T5" s="86"/>
      <c r="U5" s="40"/>
      <c r="V5" s="32"/>
      <c r="W5" s="91"/>
      <c r="X5" s="31"/>
    </row>
    <row r="6" spans="1:24" ht="25.5" customHeight="1" thickBot="1" x14ac:dyDescent="0.3">
      <c r="A6" s="45"/>
      <c r="B6" s="46"/>
      <c r="C6" s="47" t="s">
        <v>53</v>
      </c>
      <c r="D6" s="48" t="s">
        <v>56</v>
      </c>
      <c r="E6" s="125"/>
      <c r="F6" s="126"/>
      <c r="G6" s="127"/>
      <c r="H6" s="87">
        <v>300000</v>
      </c>
      <c r="I6" s="84"/>
      <c r="J6" s="87"/>
      <c r="K6" s="84"/>
      <c r="L6" s="87"/>
      <c r="M6" s="51"/>
      <c r="N6" s="84"/>
      <c r="O6" s="87"/>
      <c r="P6" s="51"/>
      <c r="Q6" s="51"/>
      <c r="R6" s="51"/>
      <c r="S6" s="84"/>
      <c r="T6" s="87"/>
      <c r="U6" s="51"/>
      <c r="V6" s="52"/>
      <c r="W6" s="92">
        <v>300000</v>
      </c>
      <c r="X6" s="31"/>
    </row>
    <row r="7" spans="1:24" ht="25.5" customHeight="1" x14ac:dyDescent="0.25">
      <c r="A7" s="11" t="s">
        <v>19</v>
      </c>
      <c r="B7" s="10" t="s">
        <v>18</v>
      </c>
      <c r="C7" s="9">
        <v>3</v>
      </c>
      <c r="D7" s="34"/>
      <c r="E7" s="35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17"/>
      <c r="W7" s="90"/>
      <c r="X7" s="31"/>
    </row>
    <row r="8" spans="1:24" ht="25.5" customHeight="1" x14ac:dyDescent="0.25">
      <c r="A8" s="7"/>
      <c r="B8" s="6"/>
      <c r="C8" s="3" t="s">
        <v>58</v>
      </c>
      <c r="D8" s="33" t="s">
        <v>60</v>
      </c>
      <c r="E8" s="38"/>
      <c r="F8" s="39"/>
      <c r="G8" s="40"/>
      <c r="H8" s="40"/>
      <c r="I8" s="40"/>
      <c r="J8" s="40">
        <v>600000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16"/>
      <c r="W8" s="91">
        <f>SUM(E8:V8)</f>
        <v>600000</v>
      </c>
      <c r="X8" s="31"/>
    </row>
    <row r="9" spans="1:24" ht="36" customHeight="1" thickBot="1" x14ac:dyDescent="0.3">
      <c r="A9" s="15"/>
      <c r="B9" s="14"/>
      <c r="C9" s="13" t="s">
        <v>59</v>
      </c>
      <c r="D9" s="48" t="s">
        <v>61</v>
      </c>
      <c r="E9" s="49"/>
      <c r="F9" s="50"/>
      <c r="G9" s="51"/>
      <c r="H9" s="51"/>
      <c r="I9" s="51"/>
      <c r="J9" s="51">
        <v>400000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12"/>
      <c r="W9" s="92">
        <f>SUM(J9:V9)</f>
        <v>400000</v>
      </c>
      <c r="X9" s="31"/>
    </row>
    <row r="10" spans="1:24" ht="17.25" customHeight="1" x14ac:dyDescent="0.25">
      <c r="A10" s="11" t="s">
        <v>17</v>
      </c>
      <c r="B10" s="10" t="s">
        <v>16</v>
      </c>
      <c r="C10" s="9">
        <v>4</v>
      </c>
      <c r="D10" s="34"/>
      <c r="E10" s="35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17"/>
      <c r="W10" s="90"/>
      <c r="X10" s="31"/>
    </row>
    <row r="11" spans="1:24" x14ac:dyDescent="0.25">
      <c r="A11" s="7"/>
      <c r="B11" s="6"/>
      <c r="C11" s="3" t="s">
        <v>62</v>
      </c>
      <c r="D11" s="33" t="s">
        <v>63</v>
      </c>
      <c r="E11" s="38"/>
      <c r="F11" s="39"/>
      <c r="G11" s="40"/>
      <c r="H11" s="40">
        <v>14000000</v>
      </c>
      <c r="I11" s="40">
        <v>11000000</v>
      </c>
      <c r="J11" s="40"/>
      <c r="K11" s="40"/>
      <c r="L11" s="40"/>
      <c r="M11" s="40"/>
      <c r="N11" s="40"/>
      <c r="O11" s="40">
        <v>3000000</v>
      </c>
      <c r="P11" s="40">
        <v>2000000</v>
      </c>
      <c r="Q11" s="40">
        <v>3700000</v>
      </c>
      <c r="R11" s="40">
        <v>0</v>
      </c>
      <c r="S11" s="40"/>
      <c r="T11" s="40"/>
      <c r="U11" s="40"/>
      <c r="V11" s="16"/>
      <c r="W11" s="91">
        <f>SUM(G11:V11)</f>
        <v>33700000</v>
      </c>
      <c r="X11" s="31"/>
    </row>
    <row r="12" spans="1:24" ht="33.75" x14ac:dyDescent="0.25">
      <c r="A12" s="7"/>
      <c r="B12" s="6"/>
      <c r="C12" s="3" t="s">
        <v>64</v>
      </c>
      <c r="D12" s="33" t="s">
        <v>65</v>
      </c>
      <c r="E12" s="38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>
        <v>15000000</v>
      </c>
      <c r="V12" s="16"/>
      <c r="W12" s="121">
        <f>SUM(P12:T12)</f>
        <v>15000000</v>
      </c>
      <c r="X12" s="31"/>
    </row>
    <row r="13" spans="1:24" ht="34.5" thickBot="1" x14ac:dyDescent="0.3">
      <c r="A13" s="15"/>
      <c r="B13" s="14"/>
      <c r="C13" s="13" t="s">
        <v>66</v>
      </c>
      <c r="D13" s="48" t="s">
        <v>67</v>
      </c>
      <c r="E13" s="49"/>
      <c r="F13" s="50"/>
      <c r="G13" s="51"/>
      <c r="H13" s="51"/>
      <c r="I13" s="51"/>
      <c r="J13" s="51"/>
      <c r="K13" s="51"/>
      <c r="L13" s="51"/>
      <c r="M13" s="51"/>
      <c r="N13" s="51"/>
      <c r="O13" s="51">
        <v>4000000</v>
      </c>
      <c r="P13" s="51"/>
      <c r="Q13" s="51">
        <v>1000000</v>
      </c>
      <c r="R13" s="51"/>
      <c r="S13" s="51"/>
      <c r="T13" s="51"/>
      <c r="U13" s="51"/>
      <c r="V13" s="12"/>
      <c r="W13" s="92">
        <f>SUM(O13:V13)</f>
        <v>5000000</v>
      </c>
      <c r="X13" s="31"/>
    </row>
    <row r="14" spans="1:24" x14ac:dyDescent="0.25">
      <c r="A14" s="11" t="s">
        <v>15</v>
      </c>
      <c r="B14" s="53" t="s">
        <v>14</v>
      </c>
      <c r="C14" s="9">
        <v>6</v>
      </c>
      <c r="D14" s="34"/>
      <c r="E14" s="35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17"/>
      <c r="W14" s="90"/>
      <c r="X14" s="31"/>
    </row>
    <row r="15" spans="1:24" ht="15.75" thickBot="1" x14ac:dyDescent="0.3">
      <c r="A15" s="15"/>
      <c r="B15" s="54"/>
      <c r="C15" s="13" t="s">
        <v>68</v>
      </c>
      <c r="D15" s="48" t="s">
        <v>69</v>
      </c>
      <c r="E15" s="49"/>
      <c r="F15" s="50"/>
      <c r="G15" s="51"/>
      <c r="H15" s="51">
        <v>0</v>
      </c>
      <c r="I15" s="51">
        <v>7500000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12"/>
      <c r="W15" s="92">
        <f>SUM(H15:V15)</f>
        <v>7500000</v>
      </c>
      <c r="X15" s="31"/>
    </row>
    <row r="16" spans="1:24" ht="25.5" customHeight="1" x14ac:dyDescent="0.25">
      <c r="A16" s="11" t="s">
        <v>13</v>
      </c>
      <c r="B16" s="10" t="s">
        <v>12</v>
      </c>
      <c r="C16" s="9">
        <v>7</v>
      </c>
      <c r="D16" s="34"/>
      <c r="E16" s="35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17"/>
      <c r="W16" s="90"/>
      <c r="X16" s="31"/>
    </row>
    <row r="17" spans="1:24" ht="25.5" customHeight="1" x14ac:dyDescent="0.25">
      <c r="A17" s="7"/>
      <c r="B17" s="6"/>
      <c r="C17" s="3">
        <v>7.2</v>
      </c>
      <c r="D17" s="33" t="s">
        <v>144</v>
      </c>
      <c r="E17" s="38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>
        <v>7000000</v>
      </c>
      <c r="V17" s="44">
        <v>0</v>
      </c>
      <c r="W17" s="91">
        <f>SUM(E17:V17)</f>
        <v>7000000</v>
      </c>
      <c r="X17" s="31"/>
    </row>
    <row r="18" spans="1:24" ht="25.5" customHeight="1" x14ac:dyDescent="0.25">
      <c r="A18" s="7"/>
      <c r="B18" s="6"/>
      <c r="C18" s="3">
        <v>7.3</v>
      </c>
      <c r="D18" s="33" t="s">
        <v>70</v>
      </c>
      <c r="E18" s="38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4">
        <v>600000</v>
      </c>
      <c r="W18" s="91">
        <f>V18</f>
        <v>600000</v>
      </c>
      <c r="X18" s="31"/>
    </row>
    <row r="19" spans="1:24" ht="25.5" customHeight="1" x14ac:dyDescent="0.25">
      <c r="A19" s="7"/>
      <c r="B19" s="6"/>
      <c r="C19" s="3" t="s">
        <v>71</v>
      </c>
      <c r="D19" s="33" t="s">
        <v>72</v>
      </c>
      <c r="E19" s="38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>
        <v>2900000</v>
      </c>
      <c r="V19" s="16"/>
      <c r="W19" s="91">
        <f t="shared" ref="W19:W56" si="0">SUM(E19:V19)</f>
        <v>2900000</v>
      </c>
      <c r="X19" s="31"/>
    </row>
    <row r="20" spans="1:24" ht="25.5" customHeight="1" thickBot="1" x14ac:dyDescent="0.3">
      <c r="A20" s="15"/>
      <c r="B20" s="14"/>
      <c r="C20" s="13" t="s">
        <v>73</v>
      </c>
      <c r="D20" s="48" t="s">
        <v>74</v>
      </c>
      <c r="E20" s="49"/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>
        <v>4500000</v>
      </c>
      <c r="V20" s="12"/>
      <c r="W20" s="92">
        <f t="shared" si="0"/>
        <v>4500000</v>
      </c>
      <c r="X20" s="31"/>
    </row>
    <row r="21" spans="1:24" ht="45" customHeight="1" x14ac:dyDescent="0.25">
      <c r="A21" s="55" t="s">
        <v>11</v>
      </c>
      <c r="B21" s="10" t="s">
        <v>10</v>
      </c>
      <c r="C21" s="9">
        <v>8</v>
      </c>
      <c r="D21" s="34"/>
      <c r="E21" s="35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7"/>
      <c r="W21" s="90">
        <f t="shared" si="0"/>
        <v>0</v>
      </c>
      <c r="X21" s="31"/>
    </row>
    <row r="22" spans="1:24" ht="45" customHeight="1" x14ac:dyDescent="0.25">
      <c r="A22" s="5"/>
      <c r="B22" s="6"/>
      <c r="C22" s="3" t="s">
        <v>75</v>
      </c>
      <c r="D22" s="33" t="s">
        <v>119</v>
      </c>
      <c r="E22" s="38"/>
      <c r="F22" s="39"/>
      <c r="G22" s="40"/>
      <c r="H22" s="40"/>
      <c r="I22" s="40"/>
      <c r="J22" s="40"/>
      <c r="K22" s="40"/>
      <c r="L22" s="152">
        <v>1000000</v>
      </c>
      <c r="M22" s="153"/>
      <c r="N22" s="154"/>
      <c r="O22" s="40"/>
      <c r="P22" s="40"/>
      <c r="Q22" s="40"/>
      <c r="R22" s="40"/>
      <c r="S22" s="40"/>
      <c r="T22" s="40"/>
      <c r="U22" s="40"/>
      <c r="V22" s="16"/>
      <c r="W22" s="91">
        <f t="shared" si="0"/>
        <v>1000000</v>
      </c>
      <c r="X22" s="31"/>
    </row>
    <row r="23" spans="1:24" ht="45" customHeight="1" x14ac:dyDescent="0.25">
      <c r="A23" s="5"/>
      <c r="B23" s="6"/>
      <c r="C23" s="3">
        <v>8.3000000000000007</v>
      </c>
      <c r="D23" s="33" t="s">
        <v>120</v>
      </c>
      <c r="E23" s="38"/>
      <c r="F23" s="39"/>
      <c r="G23" s="40"/>
      <c r="H23" s="40"/>
      <c r="I23" s="40"/>
      <c r="J23" s="40"/>
      <c r="K23" s="40"/>
      <c r="L23" s="152">
        <v>2000000</v>
      </c>
      <c r="M23" s="153"/>
      <c r="N23" s="154"/>
      <c r="O23" s="40"/>
      <c r="P23" s="40"/>
      <c r="Q23" s="40"/>
      <c r="R23" s="40"/>
      <c r="S23" s="40"/>
      <c r="T23" s="40"/>
      <c r="U23" s="40"/>
      <c r="V23" s="16"/>
      <c r="W23" s="91">
        <f t="shared" si="0"/>
        <v>2000000</v>
      </c>
      <c r="X23" s="31"/>
    </row>
    <row r="24" spans="1:24" ht="45" customHeight="1" x14ac:dyDescent="0.25">
      <c r="A24" s="5"/>
      <c r="B24" s="6"/>
      <c r="C24" s="3">
        <v>8.4</v>
      </c>
      <c r="D24" s="33" t="s">
        <v>121</v>
      </c>
      <c r="E24" s="38"/>
      <c r="F24" s="39"/>
      <c r="G24" s="40"/>
      <c r="H24" s="40"/>
      <c r="I24" s="40"/>
      <c r="J24" s="40"/>
      <c r="K24" s="40"/>
      <c r="L24" s="152">
        <v>500000</v>
      </c>
      <c r="M24" s="153"/>
      <c r="N24" s="154"/>
      <c r="O24" s="40"/>
      <c r="P24" s="40"/>
      <c r="Q24" s="40"/>
      <c r="R24" s="40"/>
      <c r="S24" s="40"/>
      <c r="T24" s="40"/>
      <c r="U24" s="40"/>
      <c r="V24" s="16"/>
      <c r="W24" s="91">
        <f t="shared" si="0"/>
        <v>500000</v>
      </c>
      <c r="X24" s="31"/>
    </row>
    <row r="25" spans="1:24" ht="45" customHeight="1" thickBot="1" x14ac:dyDescent="0.3">
      <c r="A25" s="56"/>
      <c r="B25" s="14"/>
      <c r="C25" s="13">
        <v>8.5</v>
      </c>
      <c r="D25" s="48" t="s">
        <v>122</v>
      </c>
      <c r="E25" s="49"/>
      <c r="F25" s="50"/>
      <c r="G25" s="51"/>
      <c r="H25" s="51"/>
      <c r="I25" s="51"/>
      <c r="J25" s="51"/>
      <c r="K25" s="51"/>
      <c r="L25" s="149">
        <v>3000000</v>
      </c>
      <c r="M25" s="150"/>
      <c r="N25" s="151"/>
      <c r="O25" s="51"/>
      <c r="P25" s="51"/>
      <c r="Q25" s="51"/>
      <c r="R25" s="51"/>
      <c r="S25" s="51"/>
      <c r="T25" s="51"/>
      <c r="U25" s="51"/>
      <c r="V25" s="12"/>
      <c r="W25" s="92">
        <f t="shared" si="0"/>
        <v>3000000</v>
      </c>
      <c r="X25" s="31"/>
    </row>
    <row r="26" spans="1:24" ht="25.5" x14ac:dyDescent="0.25">
      <c r="A26" s="11" t="s">
        <v>9</v>
      </c>
      <c r="B26" s="57" t="s">
        <v>8</v>
      </c>
      <c r="C26" s="9">
        <v>9</v>
      </c>
      <c r="D26" s="34"/>
      <c r="E26" s="35"/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17"/>
      <c r="W26" s="90">
        <f t="shared" si="0"/>
        <v>0</v>
      </c>
      <c r="X26" s="31"/>
    </row>
    <row r="27" spans="1:24" ht="23.25" thickBot="1" x14ac:dyDescent="0.3">
      <c r="A27" s="15"/>
      <c r="B27" s="58"/>
      <c r="C27" s="13" t="s">
        <v>76</v>
      </c>
      <c r="D27" s="48" t="s">
        <v>80</v>
      </c>
      <c r="E27" s="49"/>
      <c r="F27" s="50"/>
      <c r="G27" s="51"/>
      <c r="H27" s="51"/>
      <c r="I27" s="51"/>
      <c r="J27" s="51">
        <v>3000000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12"/>
      <c r="W27" s="138">
        <f t="shared" si="0"/>
        <v>3000000</v>
      </c>
      <c r="X27" s="31"/>
    </row>
    <row r="28" spans="1:24" x14ac:dyDescent="0.25">
      <c r="A28" s="11" t="s">
        <v>77</v>
      </c>
      <c r="B28" s="57" t="s">
        <v>78</v>
      </c>
      <c r="C28" s="9">
        <v>10</v>
      </c>
      <c r="D28" s="34"/>
      <c r="E28" s="35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17"/>
      <c r="W28" s="90">
        <f t="shared" si="0"/>
        <v>0</v>
      </c>
      <c r="X28" s="31"/>
    </row>
    <row r="29" spans="1:24" ht="23.25" thickBot="1" x14ac:dyDescent="0.3">
      <c r="A29" s="15"/>
      <c r="B29" s="58"/>
      <c r="C29" s="13" t="s">
        <v>79</v>
      </c>
      <c r="D29" s="48" t="s">
        <v>81</v>
      </c>
      <c r="E29" s="49"/>
      <c r="F29" s="50"/>
      <c r="G29" s="51"/>
      <c r="H29" s="51"/>
      <c r="I29" s="51"/>
      <c r="J29" s="51"/>
      <c r="K29" s="51"/>
      <c r="L29" s="149">
        <v>58000000</v>
      </c>
      <c r="M29" s="150"/>
      <c r="N29" s="151"/>
      <c r="O29" s="51"/>
      <c r="P29" s="51"/>
      <c r="Q29" s="51"/>
      <c r="R29" s="51"/>
      <c r="S29" s="51"/>
      <c r="T29" s="51"/>
      <c r="U29" s="51"/>
      <c r="V29" s="12"/>
      <c r="W29" s="92">
        <f t="shared" si="0"/>
        <v>58000000</v>
      </c>
      <c r="X29" s="31"/>
    </row>
    <row r="30" spans="1:24" x14ac:dyDescent="0.25">
      <c r="A30" s="11" t="s">
        <v>7</v>
      </c>
      <c r="B30" s="10" t="s">
        <v>6</v>
      </c>
      <c r="C30" s="9">
        <v>11</v>
      </c>
      <c r="D30" s="34"/>
      <c r="E30" s="35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17"/>
      <c r="W30" s="90">
        <f t="shared" si="0"/>
        <v>0</v>
      </c>
      <c r="X30" s="31"/>
    </row>
    <row r="31" spans="1:24" ht="22.5" x14ac:dyDescent="0.25">
      <c r="A31" s="7"/>
      <c r="B31" s="6"/>
      <c r="C31" s="3" t="s">
        <v>82</v>
      </c>
      <c r="D31" s="33" t="s">
        <v>84</v>
      </c>
      <c r="E31" s="38"/>
      <c r="F31" s="39"/>
      <c r="G31" s="40"/>
      <c r="H31" s="40"/>
      <c r="I31" s="40"/>
      <c r="J31" s="40"/>
      <c r="K31" s="40"/>
      <c r="L31" s="152">
        <v>4000000</v>
      </c>
      <c r="M31" s="153"/>
      <c r="N31" s="154"/>
      <c r="O31" s="40"/>
      <c r="P31" s="40"/>
      <c r="Q31" s="40"/>
      <c r="R31" s="40"/>
      <c r="S31" s="40"/>
      <c r="T31" s="40"/>
      <c r="U31" s="40"/>
      <c r="V31" s="16"/>
      <c r="W31" s="91">
        <f t="shared" si="0"/>
        <v>4000000</v>
      </c>
      <c r="X31" s="31"/>
    </row>
    <row r="32" spans="1:24" ht="23.25" thickBot="1" x14ac:dyDescent="0.3">
      <c r="A32" s="15"/>
      <c r="B32" s="14"/>
      <c r="C32" s="13" t="s">
        <v>83</v>
      </c>
      <c r="D32" s="48" t="s">
        <v>85</v>
      </c>
      <c r="E32" s="49"/>
      <c r="F32" s="50"/>
      <c r="G32" s="51"/>
      <c r="H32" s="51"/>
      <c r="I32" s="51"/>
      <c r="J32" s="51"/>
      <c r="K32" s="51"/>
      <c r="L32" s="149">
        <v>10000000</v>
      </c>
      <c r="M32" s="150"/>
      <c r="N32" s="151"/>
      <c r="O32" s="51"/>
      <c r="P32" s="51"/>
      <c r="Q32" s="51"/>
      <c r="R32" s="51"/>
      <c r="S32" s="51"/>
      <c r="T32" s="51"/>
      <c r="U32" s="51"/>
      <c r="V32" s="12"/>
      <c r="W32" s="92">
        <f t="shared" si="0"/>
        <v>10000000</v>
      </c>
      <c r="X32" s="31"/>
    </row>
    <row r="33" spans="1:24" ht="25.5" customHeight="1" x14ac:dyDescent="0.25">
      <c r="A33" s="11" t="s">
        <v>5</v>
      </c>
      <c r="B33" s="10" t="s">
        <v>4</v>
      </c>
      <c r="C33" s="9">
        <v>12</v>
      </c>
      <c r="D33" s="34"/>
      <c r="E33" s="35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17"/>
      <c r="W33" s="90">
        <f t="shared" si="0"/>
        <v>0</v>
      </c>
      <c r="X33" s="31"/>
    </row>
    <row r="34" spans="1:24" ht="25.5" customHeight="1" x14ac:dyDescent="0.25">
      <c r="A34" s="7"/>
      <c r="B34" s="6"/>
      <c r="C34" s="3" t="s">
        <v>86</v>
      </c>
      <c r="D34" s="33" t="s">
        <v>87</v>
      </c>
      <c r="E34" s="38"/>
      <c r="F34" s="39"/>
      <c r="G34" s="40"/>
      <c r="H34" s="40"/>
      <c r="I34" s="40"/>
      <c r="J34" s="40"/>
      <c r="K34" s="40"/>
      <c r="L34" s="152">
        <v>2500000</v>
      </c>
      <c r="M34" s="153"/>
      <c r="N34" s="154"/>
      <c r="O34" s="40"/>
      <c r="P34" s="40"/>
      <c r="Q34" s="40"/>
      <c r="R34" s="40"/>
      <c r="S34" s="40"/>
      <c r="T34" s="40"/>
      <c r="U34" s="40"/>
      <c r="V34" s="16"/>
      <c r="W34" s="91">
        <f t="shared" si="0"/>
        <v>2500000</v>
      </c>
      <c r="X34" s="31"/>
    </row>
    <row r="35" spans="1:24" ht="25.5" customHeight="1" x14ac:dyDescent="0.25">
      <c r="A35" s="7"/>
      <c r="B35" s="6"/>
      <c r="C35" s="3" t="s">
        <v>123</v>
      </c>
      <c r="D35" s="33" t="s">
        <v>88</v>
      </c>
      <c r="E35" s="38"/>
      <c r="F35" s="39"/>
      <c r="G35" s="40"/>
      <c r="H35" s="40"/>
      <c r="I35" s="40"/>
      <c r="J35" s="40"/>
      <c r="K35" s="40"/>
      <c r="L35" s="152">
        <v>400000</v>
      </c>
      <c r="M35" s="153"/>
      <c r="N35" s="154"/>
      <c r="O35" s="40"/>
      <c r="P35" s="40"/>
      <c r="Q35" s="40"/>
      <c r="R35" s="40"/>
      <c r="S35" s="40"/>
      <c r="T35" s="40"/>
      <c r="U35" s="40"/>
      <c r="V35" s="16"/>
      <c r="W35" s="91">
        <f t="shared" si="0"/>
        <v>400000</v>
      </c>
      <c r="X35" s="31"/>
    </row>
    <row r="36" spans="1:24" ht="25.5" customHeight="1" thickBot="1" x14ac:dyDescent="0.3">
      <c r="A36" s="15"/>
      <c r="B36" s="14"/>
      <c r="C36" s="13" t="s">
        <v>124</v>
      </c>
      <c r="D36" s="48" t="s">
        <v>89</v>
      </c>
      <c r="E36" s="49"/>
      <c r="F36" s="50"/>
      <c r="G36" s="51"/>
      <c r="H36" s="51"/>
      <c r="I36" s="51"/>
      <c r="J36" s="51"/>
      <c r="K36" s="51"/>
      <c r="L36" s="51"/>
      <c r="M36" s="51">
        <v>0</v>
      </c>
      <c r="N36" s="51"/>
      <c r="O36" s="51"/>
      <c r="P36" s="51"/>
      <c r="Q36" s="51"/>
      <c r="R36" s="51"/>
      <c r="S36" s="51"/>
      <c r="T36" s="51"/>
      <c r="U36" s="51"/>
      <c r="V36" s="12"/>
      <c r="W36" s="92">
        <f t="shared" si="0"/>
        <v>0</v>
      </c>
      <c r="X36" s="31"/>
    </row>
    <row r="37" spans="1:24" ht="21.75" hidden="1" customHeight="1" x14ac:dyDescent="0.25">
      <c r="A37" s="59"/>
      <c r="B37" s="60"/>
      <c r="C37" s="61"/>
      <c r="D37" s="62"/>
      <c r="E37" s="63"/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  <c r="W37" s="93">
        <f t="shared" si="0"/>
        <v>0</v>
      </c>
      <c r="X37" s="31"/>
    </row>
    <row r="38" spans="1:24" ht="25.5" x14ac:dyDescent="0.25">
      <c r="A38" s="11" t="s">
        <v>23</v>
      </c>
      <c r="B38" s="10" t="s">
        <v>22</v>
      </c>
      <c r="C38" s="9">
        <v>13</v>
      </c>
      <c r="D38" s="34"/>
      <c r="E38" s="35"/>
      <c r="F38" s="36"/>
      <c r="G38" s="37"/>
      <c r="H38" s="37"/>
      <c r="I38" s="37"/>
      <c r="J38" s="37"/>
      <c r="K38" s="37"/>
      <c r="L38" s="166"/>
      <c r="M38" s="167"/>
      <c r="N38" s="168"/>
      <c r="O38" s="37"/>
      <c r="P38" s="37"/>
      <c r="Q38" s="37"/>
      <c r="R38" s="37"/>
      <c r="S38" s="37"/>
      <c r="T38" s="37"/>
      <c r="U38" s="37"/>
      <c r="V38" s="17"/>
      <c r="W38" s="90">
        <f t="shared" si="0"/>
        <v>0</v>
      </c>
      <c r="X38" s="31"/>
    </row>
    <row r="39" spans="1:24" x14ac:dyDescent="0.25">
      <c r="A39" s="7"/>
      <c r="B39" s="6"/>
      <c r="C39" s="3" t="s">
        <v>90</v>
      </c>
      <c r="D39" s="33" t="s">
        <v>93</v>
      </c>
      <c r="E39" s="38"/>
      <c r="F39" s="39"/>
      <c r="G39" s="40"/>
      <c r="H39" s="40"/>
      <c r="I39" s="40"/>
      <c r="J39" s="40"/>
      <c r="K39" s="40"/>
      <c r="L39" s="152">
        <v>10000000</v>
      </c>
      <c r="M39" s="153"/>
      <c r="N39" s="154"/>
      <c r="O39" s="40"/>
      <c r="P39" s="40"/>
      <c r="Q39" s="40"/>
      <c r="R39" s="40"/>
      <c r="S39" s="40"/>
      <c r="T39" s="40"/>
      <c r="U39" s="40"/>
      <c r="V39" s="16"/>
      <c r="W39" s="91">
        <f t="shared" si="0"/>
        <v>10000000</v>
      </c>
      <c r="X39" s="31"/>
    </row>
    <row r="40" spans="1:24" ht="22.5" x14ac:dyDescent="0.25">
      <c r="A40" s="7"/>
      <c r="B40" s="6"/>
      <c r="C40" s="3" t="s">
        <v>91</v>
      </c>
      <c r="D40" s="33" t="s">
        <v>94</v>
      </c>
      <c r="E40" s="38"/>
      <c r="F40" s="39"/>
      <c r="G40" s="40"/>
      <c r="H40" s="40"/>
      <c r="I40" s="40"/>
      <c r="J40" s="40"/>
      <c r="K40" s="40"/>
      <c r="L40" s="152">
        <v>26000000</v>
      </c>
      <c r="M40" s="153"/>
      <c r="N40" s="154"/>
      <c r="O40" s="40"/>
      <c r="P40" s="40"/>
      <c r="Q40" s="40"/>
      <c r="R40" s="40"/>
      <c r="S40" s="40"/>
      <c r="T40" s="40"/>
      <c r="U40" s="40"/>
      <c r="V40" s="16"/>
      <c r="W40" s="91">
        <f t="shared" si="0"/>
        <v>26000000</v>
      </c>
      <c r="X40" s="31"/>
    </row>
    <row r="41" spans="1:24" ht="23.25" thickBot="1" x14ac:dyDescent="0.3">
      <c r="A41" s="15"/>
      <c r="B41" s="14"/>
      <c r="C41" s="13" t="s">
        <v>92</v>
      </c>
      <c r="D41" s="48" t="s">
        <v>95</v>
      </c>
      <c r="E41" s="49"/>
      <c r="F41" s="50"/>
      <c r="G41" s="51"/>
      <c r="H41" s="51"/>
      <c r="I41" s="51"/>
      <c r="J41" s="51"/>
      <c r="K41" s="51"/>
      <c r="L41" s="149">
        <v>2000000</v>
      </c>
      <c r="M41" s="150"/>
      <c r="N41" s="151"/>
      <c r="O41" s="51"/>
      <c r="P41" s="51"/>
      <c r="Q41" s="51"/>
      <c r="R41" s="51"/>
      <c r="S41" s="51"/>
      <c r="T41" s="51"/>
      <c r="U41" s="51"/>
      <c r="V41" s="12"/>
      <c r="W41" s="92">
        <f t="shared" si="0"/>
        <v>2000000</v>
      </c>
      <c r="X41" s="31"/>
    </row>
    <row r="42" spans="1:24" ht="15.75" thickBot="1" x14ac:dyDescent="0.3">
      <c r="A42" s="67" t="s">
        <v>3</v>
      </c>
      <c r="B42" s="68" t="s">
        <v>2</v>
      </c>
      <c r="C42" s="69">
        <v>14</v>
      </c>
      <c r="D42" s="70" t="s">
        <v>96</v>
      </c>
      <c r="E42" s="71"/>
      <c r="F42" s="72"/>
      <c r="G42" s="73"/>
      <c r="H42" s="73"/>
      <c r="I42" s="73"/>
      <c r="J42" s="73">
        <v>9000000</v>
      </c>
      <c r="K42" s="73"/>
      <c r="L42" s="169"/>
      <c r="M42" s="170"/>
      <c r="N42" s="171"/>
      <c r="O42" s="73"/>
      <c r="P42" s="73"/>
      <c r="Q42" s="73"/>
      <c r="R42" s="73"/>
      <c r="S42" s="73"/>
      <c r="T42" s="73"/>
      <c r="U42" s="73"/>
      <c r="V42" s="74"/>
      <c r="W42" s="94">
        <f t="shared" si="0"/>
        <v>9000000</v>
      </c>
      <c r="X42" s="31"/>
    </row>
    <row r="43" spans="1:24" x14ac:dyDescent="0.25">
      <c r="A43" s="11" t="s">
        <v>1</v>
      </c>
      <c r="B43" s="10" t="s">
        <v>0</v>
      </c>
      <c r="C43" s="9">
        <v>16</v>
      </c>
      <c r="D43" s="34"/>
      <c r="E43" s="35"/>
      <c r="F43" s="36"/>
      <c r="G43" s="37"/>
      <c r="H43" s="37"/>
      <c r="I43" s="37"/>
      <c r="J43" s="37"/>
      <c r="K43" s="37"/>
      <c r="L43" s="166"/>
      <c r="M43" s="167"/>
      <c r="N43" s="168"/>
      <c r="O43" s="37"/>
      <c r="P43" s="37"/>
      <c r="Q43" s="37"/>
      <c r="R43" s="37"/>
      <c r="S43" s="37"/>
      <c r="T43" s="37"/>
      <c r="U43" s="37"/>
      <c r="V43" s="17"/>
      <c r="W43" s="90">
        <f t="shared" si="0"/>
        <v>0</v>
      </c>
      <c r="X43" s="31"/>
    </row>
    <row r="44" spans="1:24" x14ac:dyDescent="0.25">
      <c r="A44" s="7"/>
      <c r="B44" s="6"/>
      <c r="C44" s="164" t="s">
        <v>97</v>
      </c>
      <c r="D44" s="33" t="s">
        <v>98</v>
      </c>
      <c r="E44" s="38"/>
      <c r="F44" s="38"/>
      <c r="G44" s="40"/>
      <c r="H44" s="40">
        <v>750000</v>
      </c>
      <c r="I44" s="40"/>
      <c r="J44" s="40"/>
      <c r="K44" s="40"/>
      <c r="L44" s="152">
        <v>375000</v>
      </c>
      <c r="M44" s="153"/>
      <c r="N44" s="154"/>
      <c r="O44" s="40">
        <v>225000</v>
      </c>
      <c r="P44" s="40">
        <v>150000</v>
      </c>
      <c r="Q44" s="40"/>
      <c r="R44" s="40"/>
      <c r="S44" s="40"/>
      <c r="T44" s="40"/>
      <c r="U44" s="40"/>
      <c r="V44" s="16"/>
      <c r="W44" s="91">
        <f t="shared" si="0"/>
        <v>1500000</v>
      </c>
      <c r="X44" s="31"/>
    </row>
    <row r="45" spans="1:24" ht="22.5" x14ac:dyDescent="0.25">
      <c r="A45" s="7"/>
      <c r="B45" s="6"/>
      <c r="C45" s="165"/>
      <c r="D45" s="33" t="s">
        <v>99</v>
      </c>
      <c r="E45" s="38"/>
      <c r="F45" s="38"/>
      <c r="G45" s="40"/>
      <c r="H45" s="40"/>
      <c r="I45" s="40"/>
      <c r="J45" s="40">
        <v>800000</v>
      </c>
      <c r="K45" s="40"/>
      <c r="L45" s="41"/>
      <c r="M45" s="42"/>
      <c r="N45" s="43"/>
      <c r="O45" s="40"/>
      <c r="P45" s="40"/>
      <c r="Q45" s="40"/>
      <c r="R45" s="40"/>
      <c r="S45" s="40"/>
      <c r="T45" s="40"/>
      <c r="U45" s="40"/>
      <c r="V45" s="16"/>
      <c r="W45" s="91">
        <f t="shared" si="0"/>
        <v>800000</v>
      </c>
      <c r="X45" s="31"/>
    </row>
    <row r="46" spans="1:24" ht="45" x14ac:dyDescent="0.25">
      <c r="A46" s="7"/>
      <c r="B46" s="6"/>
      <c r="C46" s="3" t="s">
        <v>100</v>
      </c>
      <c r="D46" s="33" t="s">
        <v>101</v>
      </c>
      <c r="E46" s="38"/>
      <c r="F46" s="39"/>
      <c r="G46" s="40"/>
      <c r="H46" s="40"/>
      <c r="I46" s="40"/>
      <c r="J46" s="40">
        <v>700000</v>
      </c>
      <c r="K46" s="40"/>
      <c r="L46" s="41"/>
      <c r="M46" s="42"/>
      <c r="N46" s="43"/>
      <c r="O46" s="40"/>
      <c r="P46" s="40"/>
      <c r="Q46" s="40"/>
      <c r="R46" s="40"/>
      <c r="S46" s="40"/>
      <c r="T46" s="40"/>
      <c r="U46" s="40"/>
      <c r="V46" s="16"/>
      <c r="W46" s="91">
        <f t="shared" si="0"/>
        <v>700000</v>
      </c>
      <c r="X46" s="31"/>
    </row>
    <row r="47" spans="1:24" ht="34.5" thickBot="1" x14ac:dyDescent="0.3">
      <c r="A47" s="15"/>
      <c r="B47" s="14"/>
      <c r="C47" s="13"/>
      <c r="D47" s="48" t="s">
        <v>102</v>
      </c>
      <c r="E47" s="49"/>
      <c r="F47" s="50"/>
      <c r="G47" s="51"/>
      <c r="H47" s="51"/>
      <c r="I47" s="51"/>
      <c r="J47" s="51"/>
      <c r="K47" s="51"/>
      <c r="L47" s="75"/>
      <c r="M47" s="76"/>
      <c r="N47" s="77"/>
      <c r="O47" s="51"/>
      <c r="P47" s="51"/>
      <c r="Q47" s="51"/>
      <c r="R47" s="51"/>
      <c r="S47" s="51"/>
      <c r="T47" s="51"/>
      <c r="U47" s="51"/>
      <c r="V47" s="12"/>
      <c r="W47" s="92">
        <f t="shared" si="0"/>
        <v>0</v>
      </c>
      <c r="X47" s="31"/>
    </row>
    <row r="48" spans="1:24" ht="25.5" x14ac:dyDescent="0.25">
      <c r="A48" s="11" t="s">
        <v>103</v>
      </c>
      <c r="B48" s="10" t="s">
        <v>104</v>
      </c>
      <c r="C48" s="9">
        <v>19</v>
      </c>
      <c r="D48" s="34"/>
      <c r="E48" s="35"/>
      <c r="F48" s="36"/>
      <c r="G48" s="37"/>
      <c r="H48" s="37"/>
      <c r="I48" s="37"/>
      <c r="J48" s="37"/>
      <c r="K48" s="37"/>
      <c r="L48" s="175"/>
      <c r="M48" s="176"/>
      <c r="N48" s="177"/>
      <c r="O48" s="37"/>
      <c r="P48" s="37"/>
      <c r="Q48" s="37"/>
      <c r="R48" s="37"/>
      <c r="S48" s="37"/>
      <c r="T48" s="37"/>
      <c r="U48" s="37"/>
      <c r="V48" s="17"/>
      <c r="W48" s="90">
        <f t="shared" si="0"/>
        <v>0</v>
      </c>
      <c r="X48" s="31"/>
    </row>
    <row r="49" spans="1:24" ht="22.5" x14ac:dyDescent="0.25">
      <c r="A49" s="7"/>
      <c r="B49" s="6"/>
      <c r="C49" s="3" t="s">
        <v>105</v>
      </c>
      <c r="D49" s="33" t="s">
        <v>106</v>
      </c>
      <c r="E49" s="38"/>
      <c r="F49" s="39"/>
      <c r="G49" s="40"/>
      <c r="H49" s="40"/>
      <c r="I49" s="40"/>
      <c r="J49" s="40"/>
      <c r="K49" s="40"/>
      <c r="L49" s="152"/>
      <c r="M49" s="153"/>
      <c r="N49" s="154"/>
      <c r="O49" s="40"/>
      <c r="P49" s="40"/>
      <c r="Q49" s="40"/>
      <c r="R49" s="40"/>
      <c r="S49" s="40"/>
      <c r="T49" s="40"/>
      <c r="U49" s="40">
        <v>9500000</v>
      </c>
      <c r="V49" s="16"/>
      <c r="W49" s="91">
        <f t="shared" si="0"/>
        <v>9500000</v>
      </c>
      <c r="X49" s="31"/>
    </row>
    <row r="50" spans="1:24" x14ac:dyDescent="0.25">
      <c r="A50" s="7"/>
      <c r="B50" s="6"/>
      <c r="C50" s="3" t="s">
        <v>107</v>
      </c>
      <c r="D50" s="33" t="s">
        <v>108</v>
      </c>
      <c r="E50" s="38"/>
      <c r="F50" s="39"/>
      <c r="G50" s="40"/>
      <c r="H50" s="40"/>
      <c r="I50" s="40"/>
      <c r="J50" s="40"/>
      <c r="K50" s="40"/>
      <c r="L50" s="152"/>
      <c r="M50" s="153"/>
      <c r="N50" s="154"/>
      <c r="O50" s="40"/>
      <c r="P50" s="40"/>
      <c r="Q50" s="40"/>
      <c r="R50" s="40"/>
      <c r="S50" s="40"/>
      <c r="T50" s="40"/>
      <c r="U50" s="40">
        <v>500000</v>
      </c>
      <c r="V50" s="16"/>
      <c r="W50" s="91">
        <v>500000</v>
      </c>
      <c r="X50" s="31"/>
    </row>
    <row r="51" spans="1:24" ht="15.75" thickBot="1" x14ac:dyDescent="0.3">
      <c r="A51" s="15"/>
      <c r="B51" s="14"/>
      <c r="C51" s="13" t="s">
        <v>109</v>
      </c>
      <c r="D51" s="48" t="s">
        <v>110</v>
      </c>
      <c r="E51" s="49"/>
      <c r="F51" s="50"/>
      <c r="G51" s="51"/>
      <c r="H51" s="51"/>
      <c r="I51" s="51"/>
      <c r="J51" s="51"/>
      <c r="K51" s="51"/>
      <c r="L51" s="149"/>
      <c r="M51" s="150"/>
      <c r="N51" s="151"/>
      <c r="O51" s="51"/>
      <c r="P51" s="51"/>
      <c r="Q51" s="51"/>
      <c r="R51" s="51"/>
      <c r="S51" s="51"/>
      <c r="T51" s="51"/>
      <c r="U51" s="51">
        <v>2500000</v>
      </c>
      <c r="V51" s="12"/>
      <c r="W51" s="92">
        <f t="shared" si="0"/>
        <v>2500000</v>
      </c>
      <c r="X51" s="31"/>
    </row>
    <row r="52" spans="1:24" x14ac:dyDescent="0.25">
      <c r="A52" s="11" t="s">
        <v>113</v>
      </c>
      <c r="B52" s="10" t="s">
        <v>114</v>
      </c>
      <c r="C52" s="9">
        <v>20</v>
      </c>
      <c r="D52" s="34"/>
      <c r="E52" s="35"/>
      <c r="F52" s="36"/>
      <c r="G52" s="37"/>
      <c r="H52" s="37"/>
      <c r="I52" s="37"/>
      <c r="J52" s="37"/>
      <c r="K52" s="37"/>
      <c r="L52" s="78"/>
      <c r="M52" s="79"/>
      <c r="N52" s="80"/>
      <c r="O52" s="37"/>
      <c r="P52" s="37"/>
      <c r="Q52" s="37"/>
      <c r="R52" s="37"/>
      <c r="S52" s="37"/>
      <c r="T52" s="37"/>
      <c r="U52" s="37"/>
      <c r="V52" s="17"/>
      <c r="W52" s="90">
        <f t="shared" si="0"/>
        <v>0</v>
      </c>
      <c r="X52" s="31"/>
    </row>
    <row r="53" spans="1:24" ht="22.5" x14ac:dyDescent="0.25">
      <c r="A53" s="7"/>
      <c r="B53" s="8"/>
      <c r="C53" s="3" t="s">
        <v>111</v>
      </c>
      <c r="D53" s="33" t="s">
        <v>112</v>
      </c>
      <c r="E53" s="38"/>
      <c r="F53" s="39"/>
      <c r="G53" s="40"/>
      <c r="H53" s="40"/>
      <c r="I53" s="40"/>
      <c r="J53" s="40"/>
      <c r="K53" s="40"/>
      <c r="L53" s="152"/>
      <c r="M53" s="153"/>
      <c r="N53" s="154"/>
      <c r="O53" s="40"/>
      <c r="P53" s="40"/>
      <c r="Q53" s="40"/>
      <c r="R53" s="40"/>
      <c r="S53" s="40"/>
      <c r="T53" s="40"/>
      <c r="U53" s="40"/>
      <c r="V53" s="16"/>
      <c r="W53" s="91">
        <f t="shared" si="0"/>
        <v>0</v>
      </c>
      <c r="X53" s="31"/>
    </row>
    <row r="54" spans="1:24" x14ac:dyDescent="0.25">
      <c r="A54" s="7"/>
      <c r="B54" s="6"/>
      <c r="C54" s="3" t="s">
        <v>115</v>
      </c>
      <c r="D54" s="33" t="s">
        <v>116</v>
      </c>
      <c r="E54" s="38"/>
      <c r="F54" s="39"/>
      <c r="G54" s="40"/>
      <c r="H54" s="40"/>
      <c r="I54" s="40"/>
      <c r="J54" s="40"/>
      <c r="K54" s="40"/>
      <c r="L54" s="152"/>
      <c r="M54" s="153"/>
      <c r="N54" s="154"/>
      <c r="O54" s="40"/>
      <c r="P54" s="40"/>
      <c r="Q54" s="40"/>
      <c r="R54" s="40"/>
      <c r="S54" s="40"/>
      <c r="T54" s="40"/>
      <c r="U54" s="40"/>
      <c r="V54" s="16"/>
      <c r="W54" s="91">
        <v>3493164</v>
      </c>
      <c r="X54" s="31"/>
    </row>
    <row r="55" spans="1:24" ht="15.75" thickBot="1" x14ac:dyDescent="0.3">
      <c r="A55" s="56"/>
      <c r="B55" s="14"/>
      <c r="C55" s="13"/>
      <c r="D55" s="48"/>
      <c r="E55" s="49"/>
      <c r="F55" s="50"/>
      <c r="G55" s="51"/>
      <c r="H55" s="51"/>
      <c r="I55" s="51"/>
      <c r="J55" s="51"/>
      <c r="K55" s="51"/>
      <c r="L55" s="149"/>
      <c r="M55" s="150"/>
      <c r="N55" s="151"/>
      <c r="O55" s="51"/>
      <c r="P55" s="51"/>
      <c r="Q55" s="51"/>
      <c r="R55" s="51"/>
      <c r="S55" s="51"/>
      <c r="T55" s="51"/>
      <c r="U55" s="51"/>
      <c r="V55" s="12"/>
      <c r="W55" s="92">
        <v>1000000</v>
      </c>
      <c r="X55" s="31"/>
    </row>
    <row r="56" spans="1:24" ht="15.75" thickBot="1" x14ac:dyDescent="0.3">
      <c r="A56" s="67" t="s">
        <v>117</v>
      </c>
      <c r="B56" s="81" t="s">
        <v>118</v>
      </c>
      <c r="C56" s="69"/>
      <c r="D56" s="70"/>
      <c r="E56" s="71"/>
      <c r="F56" s="72"/>
      <c r="G56" s="73"/>
      <c r="H56" s="73">
        <v>0</v>
      </c>
      <c r="I56" s="73">
        <v>10000000</v>
      </c>
      <c r="J56" s="73"/>
      <c r="K56" s="73"/>
      <c r="L56" s="169"/>
      <c r="M56" s="170"/>
      <c r="N56" s="171"/>
      <c r="O56" s="73"/>
      <c r="P56" s="73"/>
      <c r="Q56" s="73"/>
      <c r="R56" s="73"/>
      <c r="S56" s="73"/>
      <c r="T56" s="73"/>
      <c r="U56" s="73"/>
      <c r="V56" s="74"/>
      <c r="W56" s="94">
        <f t="shared" si="0"/>
        <v>10000000</v>
      </c>
      <c r="X56" s="31"/>
    </row>
    <row r="57" spans="1:24" x14ac:dyDescent="0.25">
      <c r="A57" s="26"/>
      <c r="B57" s="27"/>
      <c r="C57" s="28"/>
      <c r="D57" s="25"/>
      <c r="E57" s="38"/>
      <c r="F57" s="39"/>
      <c r="G57" s="40"/>
      <c r="H57" s="40"/>
      <c r="I57" s="40"/>
      <c r="J57" s="40"/>
      <c r="K57" s="40"/>
      <c r="L57" s="178"/>
      <c r="M57" s="179"/>
      <c r="N57" s="180"/>
      <c r="O57" s="40"/>
      <c r="P57" s="40"/>
      <c r="Q57" s="40"/>
      <c r="R57" s="40"/>
      <c r="S57" s="40"/>
      <c r="T57" s="40"/>
      <c r="U57" s="40"/>
      <c r="V57" s="16"/>
      <c r="W57" s="91"/>
      <c r="X57" s="31"/>
    </row>
    <row r="58" spans="1:24" x14ac:dyDescent="0.25">
      <c r="A58" s="7"/>
      <c r="B58" s="6"/>
      <c r="C58" s="3"/>
      <c r="D58" s="96" t="s">
        <v>125</v>
      </c>
      <c r="E58" s="97">
        <f t="shared" ref="E58:M58" si="1">SUM(E3:E57)</f>
        <v>0</v>
      </c>
      <c r="F58" s="98">
        <f t="shared" si="1"/>
        <v>0</v>
      </c>
      <c r="G58" s="98">
        <f t="shared" si="1"/>
        <v>0</v>
      </c>
      <c r="H58" s="98">
        <f t="shared" si="1"/>
        <v>15920000</v>
      </c>
      <c r="I58" s="98">
        <f t="shared" si="1"/>
        <v>28500000</v>
      </c>
      <c r="J58" s="98">
        <f t="shared" si="1"/>
        <v>14800000</v>
      </c>
      <c r="K58" s="98">
        <f t="shared" si="1"/>
        <v>0</v>
      </c>
      <c r="L58" s="98">
        <f t="shared" si="1"/>
        <v>119925000</v>
      </c>
      <c r="M58" s="98">
        <f t="shared" si="1"/>
        <v>0</v>
      </c>
      <c r="N58" s="98">
        <f t="shared" ref="N58:V58" si="2">SUM(N3:N57)</f>
        <v>0</v>
      </c>
      <c r="O58" s="98">
        <f t="shared" si="2"/>
        <v>7505000</v>
      </c>
      <c r="P58" s="98">
        <f t="shared" si="2"/>
        <v>2200000</v>
      </c>
      <c r="Q58" s="98">
        <f t="shared" si="2"/>
        <v>4700000</v>
      </c>
      <c r="R58" s="98">
        <f t="shared" si="2"/>
        <v>50000</v>
      </c>
      <c r="S58" s="98">
        <f t="shared" si="2"/>
        <v>0</v>
      </c>
      <c r="T58" s="98">
        <f t="shared" si="2"/>
        <v>15000000</v>
      </c>
      <c r="U58" s="98">
        <f t="shared" si="2"/>
        <v>26900000</v>
      </c>
      <c r="V58" s="98">
        <f t="shared" si="2"/>
        <v>600000</v>
      </c>
      <c r="W58" s="91">
        <f>SUM(W3:W56)</f>
        <v>240593164</v>
      </c>
      <c r="X58" s="31"/>
    </row>
    <row r="59" spans="1:24" x14ac:dyDescent="0.25">
      <c r="A59" s="7"/>
      <c r="B59" s="6"/>
      <c r="C59" s="3"/>
      <c r="D59" s="96"/>
      <c r="E59" s="97"/>
      <c r="F59" s="98"/>
      <c r="G59" s="98"/>
      <c r="H59" s="98"/>
      <c r="I59" s="98"/>
      <c r="J59" s="98"/>
      <c r="K59" s="98"/>
      <c r="L59" s="98"/>
      <c r="M59" s="108"/>
      <c r="N59" s="108"/>
      <c r="O59" s="98"/>
      <c r="P59" s="98"/>
      <c r="Q59" s="98"/>
      <c r="R59" s="98"/>
      <c r="S59" s="98"/>
      <c r="T59" s="98"/>
      <c r="U59" s="98"/>
      <c r="V59" s="98"/>
      <c r="W59" s="91"/>
      <c r="X59" s="31"/>
    </row>
    <row r="60" spans="1:24" x14ac:dyDescent="0.25">
      <c r="A60" s="7"/>
      <c r="B60" s="6"/>
      <c r="C60" s="3"/>
      <c r="D60" s="25"/>
      <c r="E60" s="38">
        <f t="shared" ref="E60:J60" si="3">E58*0.63</f>
        <v>0</v>
      </c>
      <c r="F60" s="38">
        <f t="shared" si="3"/>
        <v>0</v>
      </c>
      <c r="G60" s="38">
        <f t="shared" si="3"/>
        <v>0</v>
      </c>
      <c r="H60" s="38">
        <f t="shared" si="3"/>
        <v>10029600</v>
      </c>
      <c r="I60" s="38">
        <f t="shared" si="3"/>
        <v>17955000</v>
      </c>
      <c r="J60" s="38">
        <f t="shared" si="3"/>
        <v>9324000</v>
      </c>
      <c r="K60" s="38">
        <f t="shared" ref="K60:V60" si="4">K58*0.63</f>
        <v>0</v>
      </c>
      <c r="L60" s="38">
        <f t="shared" si="4"/>
        <v>75552750</v>
      </c>
      <c r="M60" s="38">
        <f t="shared" si="4"/>
        <v>0</v>
      </c>
      <c r="N60" s="38">
        <f t="shared" si="4"/>
        <v>0</v>
      </c>
      <c r="O60" s="38">
        <f t="shared" si="4"/>
        <v>4728150</v>
      </c>
      <c r="P60" s="38">
        <f t="shared" si="4"/>
        <v>1386000</v>
      </c>
      <c r="Q60" s="38">
        <f t="shared" si="4"/>
        <v>2961000</v>
      </c>
      <c r="R60" s="38">
        <f t="shared" si="4"/>
        <v>31500</v>
      </c>
      <c r="S60" s="38">
        <f t="shared" si="4"/>
        <v>0</v>
      </c>
      <c r="T60" s="38">
        <f t="shared" si="4"/>
        <v>9450000</v>
      </c>
      <c r="U60" s="38">
        <f t="shared" si="4"/>
        <v>16947000</v>
      </c>
      <c r="V60" s="38">
        <f t="shared" si="4"/>
        <v>378000</v>
      </c>
      <c r="W60" s="91"/>
      <c r="X60" s="31"/>
    </row>
    <row r="61" spans="1:24" ht="24" x14ac:dyDescent="0.25">
      <c r="A61" s="7"/>
      <c r="B61" s="6"/>
      <c r="C61" s="3"/>
      <c r="D61" s="25"/>
      <c r="E61" s="38" t="s">
        <v>139</v>
      </c>
      <c r="F61" s="39" t="s">
        <v>140</v>
      </c>
      <c r="G61" s="40"/>
      <c r="H61" s="40"/>
      <c r="I61" s="40"/>
      <c r="J61" s="40"/>
      <c r="K61" s="40"/>
      <c r="L61" s="99"/>
      <c r="M61" s="100"/>
      <c r="N61" s="101"/>
      <c r="O61" s="40"/>
      <c r="P61" s="40"/>
      <c r="Q61" s="40"/>
      <c r="R61" s="40"/>
      <c r="S61" s="40"/>
      <c r="T61" s="40"/>
      <c r="U61" s="40"/>
      <c r="V61" s="16"/>
      <c r="W61" s="91"/>
      <c r="X61" s="31"/>
    </row>
    <row r="62" spans="1:24" x14ac:dyDescent="0.25">
      <c r="A62" s="7"/>
      <c r="B62" s="6"/>
      <c r="C62" s="102"/>
      <c r="D62" s="109" t="s">
        <v>126</v>
      </c>
      <c r="E62" s="110">
        <f>E58+F58</f>
        <v>0</v>
      </c>
      <c r="F62" s="106">
        <f>E62*0.63</f>
        <v>0</v>
      </c>
      <c r="G62" s="40"/>
      <c r="H62" s="40"/>
      <c r="I62" s="40"/>
      <c r="J62" s="40"/>
      <c r="K62" s="40"/>
      <c r="L62" s="152"/>
      <c r="M62" s="153"/>
      <c r="N62" s="154"/>
      <c r="O62" s="40"/>
      <c r="P62" s="40"/>
      <c r="Q62" s="40"/>
      <c r="R62" s="40"/>
      <c r="S62" s="40"/>
      <c r="T62" s="40"/>
      <c r="U62" s="40"/>
      <c r="V62" s="16"/>
      <c r="W62" s="91"/>
      <c r="X62" s="31"/>
    </row>
    <row r="63" spans="1:24" ht="15.75" thickBot="1" x14ac:dyDescent="0.3">
      <c r="A63" s="7"/>
      <c r="B63" s="6"/>
      <c r="C63" s="102"/>
      <c r="D63" s="109" t="s">
        <v>127</v>
      </c>
      <c r="E63" s="110">
        <f>V58</f>
        <v>600000</v>
      </c>
      <c r="F63" s="106">
        <f t="shared" ref="F63:F73" si="5">E63*0.63</f>
        <v>378000</v>
      </c>
      <c r="G63" s="40"/>
      <c r="H63" s="40"/>
      <c r="I63" s="40"/>
      <c r="J63" s="40"/>
      <c r="K63" s="65"/>
      <c r="L63" s="172"/>
      <c r="M63" s="173"/>
      <c r="N63" s="174"/>
      <c r="O63" s="40"/>
      <c r="P63" s="40"/>
      <c r="Q63" s="40"/>
      <c r="R63" s="40"/>
      <c r="S63" s="40"/>
      <c r="T63" s="40"/>
      <c r="U63" s="40"/>
      <c r="V63" s="16"/>
      <c r="W63" s="91"/>
      <c r="X63" s="31"/>
    </row>
    <row r="64" spans="1:24" ht="49.5" thickTop="1" thickBot="1" x14ac:dyDescent="0.3">
      <c r="A64" s="5"/>
      <c r="B64" s="4"/>
      <c r="C64" s="102"/>
      <c r="D64" s="109" t="s">
        <v>128</v>
      </c>
      <c r="E64" s="110">
        <f>H58+I58+J58+K58</f>
        <v>59220000</v>
      </c>
      <c r="F64" s="106">
        <f t="shared" si="5"/>
        <v>37308600</v>
      </c>
      <c r="G64" s="104"/>
      <c r="H64" s="104"/>
      <c r="I64" s="104"/>
      <c r="J64" s="104"/>
      <c r="K64" s="115" t="s">
        <v>141</v>
      </c>
      <c r="L64" s="116" t="s">
        <v>139</v>
      </c>
      <c r="M64" s="116" t="s">
        <v>142</v>
      </c>
      <c r="N64" s="117" t="s">
        <v>143</v>
      </c>
      <c r="O64" s="107"/>
      <c r="P64" s="40"/>
      <c r="Q64" s="40"/>
      <c r="R64" s="40"/>
      <c r="S64" s="40"/>
      <c r="T64" s="40"/>
      <c r="U64" s="40"/>
      <c r="V64" s="16"/>
      <c r="W64" s="91"/>
      <c r="X64" s="31"/>
    </row>
    <row r="65" spans="1:24" ht="15.75" thickBot="1" x14ac:dyDescent="0.3">
      <c r="A65" s="11"/>
      <c r="B65" s="10"/>
      <c r="C65" s="103"/>
      <c r="D65" s="109" t="s">
        <v>129</v>
      </c>
      <c r="E65" s="110">
        <f>P58+Q58+R58+S58</f>
        <v>6950000</v>
      </c>
      <c r="F65" s="106">
        <f t="shared" si="5"/>
        <v>4378500</v>
      </c>
      <c r="G65" s="104"/>
      <c r="H65" s="104"/>
      <c r="I65" s="104"/>
      <c r="J65" s="104"/>
      <c r="K65" s="118"/>
      <c r="L65" s="119">
        <f>L58+M58+N58+O58+P58+Q58+R58+S58+(U58*0.4)</f>
        <v>145140000</v>
      </c>
      <c r="M65" s="119">
        <f>L65*0.63</f>
        <v>91438200</v>
      </c>
      <c r="N65" s="120">
        <f>M65/F74</f>
        <v>0.60550688360450566</v>
      </c>
      <c r="O65" s="114"/>
      <c r="P65" s="37"/>
      <c r="Q65" s="37"/>
      <c r="R65" s="37"/>
      <c r="S65" s="37"/>
      <c r="T65" s="37"/>
      <c r="U65" s="37"/>
      <c r="V65" s="17"/>
      <c r="W65" s="90"/>
      <c r="X65" s="31"/>
    </row>
    <row r="66" spans="1:24" ht="15.75" thickTop="1" x14ac:dyDescent="0.25">
      <c r="A66" s="7"/>
      <c r="B66" s="6"/>
      <c r="C66" s="102"/>
      <c r="D66" s="109" t="s">
        <v>130</v>
      </c>
      <c r="E66" s="110">
        <f>(L58/2)+(M58/2)+(N58/2)</f>
        <v>59962500</v>
      </c>
      <c r="F66" s="106">
        <f t="shared" si="5"/>
        <v>37776375</v>
      </c>
      <c r="G66" s="104"/>
      <c r="H66" s="104"/>
      <c r="I66" s="104"/>
      <c r="J66" s="104"/>
      <c r="K66" s="106"/>
      <c r="L66" s="106"/>
      <c r="M66" s="106"/>
      <c r="N66" s="107"/>
      <c r="O66" s="40"/>
      <c r="P66" s="40"/>
      <c r="Q66" s="40"/>
      <c r="R66" s="40"/>
      <c r="S66" s="40"/>
      <c r="T66" s="40"/>
      <c r="U66" s="40"/>
      <c r="V66" s="16"/>
      <c r="W66" s="91"/>
      <c r="X66" s="31"/>
    </row>
    <row r="67" spans="1:24" x14ac:dyDescent="0.25">
      <c r="A67" s="7"/>
      <c r="B67" s="6"/>
      <c r="C67" s="102"/>
      <c r="D67" s="109" t="s">
        <v>131</v>
      </c>
      <c r="E67" s="110">
        <f>(L58/2)+(M58/2)+(N58/2)+O58</f>
        <v>67467500</v>
      </c>
      <c r="F67" s="106">
        <f t="shared" si="5"/>
        <v>42504525</v>
      </c>
      <c r="G67" s="104"/>
      <c r="H67" s="104"/>
      <c r="I67" s="104"/>
      <c r="J67" s="104"/>
      <c r="K67" s="104"/>
      <c r="L67" s="104"/>
      <c r="M67" s="104"/>
      <c r="N67" s="105"/>
      <c r="O67" s="40"/>
      <c r="P67" s="40"/>
      <c r="Q67" s="40"/>
      <c r="R67" s="40"/>
      <c r="S67" s="40"/>
      <c r="T67" s="40"/>
      <c r="U67" s="40"/>
      <c r="V67" s="16"/>
      <c r="W67" s="91"/>
      <c r="X67" s="31"/>
    </row>
    <row r="68" spans="1:24" x14ac:dyDescent="0.25">
      <c r="A68" s="7"/>
      <c r="B68" s="6"/>
      <c r="C68" s="102"/>
      <c r="D68" s="109" t="s">
        <v>132</v>
      </c>
      <c r="E68" s="110"/>
      <c r="F68" s="106">
        <f t="shared" si="5"/>
        <v>0</v>
      </c>
      <c r="G68" s="104"/>
      <c r="H68" s="104"/>
      <c r="I68" s="104"/>
      <c r="J68" s="104"/>
      <c r="K68" s="104"/>
      <c r="L68" s="104"/>
      <c r="M68" s="104"/>
      <c r="N68" s="105"/>
      <c r="O68" s="40"/>
      <c r="P68" s="40"/>
      <c r="Q68" s="40"/>
      <c r="R68" s="40"/>
      <c r="S68" s="40"/>
      <c r="T68" s="40"/>
      <c r="U68" s="40"/>
      <c r="V68" s="16"/>
      <c r="W68" s="91"/>
      <c r="X68" s="31"/>
    </row>
    <row r="69" spans="1:24" x14ac:dyDescent="0.25">
      <c r="A69" s="7"/>
      <c r="B69" s="6"/>
      <c r="C69" s="102"/>
      <c r="D69" s="109" t="s">
        <v>133</v>
      </c>
      <c r="E69" s="110">
        <f>T58</f>
        <v>15000000</v>
      </c>
      <c r="F69" s="106">
        <f t="shared" si="5"/>
        <v>9450000</v>
      </c>
      <c r="G69" s="106"/>
      <c r="H69" s="106"/>
      <c r="I69" s="113"/>
      <c r="J69" s="106"/>
      <c r="K69" s="106"/>
      <c r="L69" s="106"/>
      <c r="M69" s="106"/>
      <c r="N69" s="107"/>
      <c r="O69" s="40"/>
      <c r="P69" s="40"/>
      <c r="Q69" s="40"/>
      <c r="R69" s="40"/>
      <c r="S69" s="40"/>
      <c r="T69" s="40"/>
      <c r="U69" s="40"/>
      <c r="V69" s="16"/>
      <c r="W69" s="91"/>
      <c r="X69" s="31"/>
    </row>
    <row r="70" spans="1:24" x14ac:dyDescent="0.25">
      <c r="A70" s="7"/>
      <c r="B70" s="6"/>
      <c r="C70" s="102"/>
      <c r="D70" s="109" t="s">
        <v>134</v>
      </c>
      <c r="E70" s="110">
        <f>U58</f>
        <v>26900000</v>
      </c>
      <c r="F70" s="106">
        <f t="shared" si="5"/>
        <v>16947000</v>
      </c>
      <c r="G70" s="106"/>
      <c r="H70" s="106"/>
      <c r="I70" s="106"/>
      <c r="J70" s="106"/>
      <c r="K70" s="106"/>
      <c r="L70" s="106"/>
      <c r="M70" s="106"/>
      <c r="N70" s="107"/>
      <c r="O70" s="40"/>
      <c r="P70" s="40"/>
      <c r="Q70" s="40"/>
      <c r="R70" s="40"/>
      <c r="S70" s="40"/>
      <c r="T70" s="40"/>
      <c r="U70" s="40"/>
      <c r="V70" s="16"/>
      <c r="W70" s="91"/>
      <c r="X70" s="31"/>
    </row>
    <row r="71" spans="1:24" x14ac:dyDescent="0.25">
      <c r="A71" s="7"/>
      <c r="B71" s="6"/>
      <c r="C71" s="102"/>
      <c r="D71" s="109" t="s">
        <v>135</v>
      </c>
      <c r="E71" s="110">
        <f>G58</f>
        <v>0</v>
      </c>
      <c r="F71" s="106">
        <f t="shared" si="5"/>
        <v>0</v>
      </c>
      <c r="G71" s="106"/>
      <c r="H71" s="106"/>
      <c r="I71" s="106"/>
      <c r="J71" s="106"/>
      <c r="K71" s="106"/>
      <c r="L71" s="106"/>
      <c r="M71" s="106"/>
      <c r="N71" s="107"/>
      <c r="O71" s="40"/>
      <c r="P71" s="40"/>
      <c r="Q71" s="40"/>
      <c r="R71" s="40"/>
      <c r="S71" s="40"/>
      <c r="T71" s="40"/>
      <c r="U71" s="40"/>
      <c r="V71" s="16"/>
      <c r="W71" s="91"/>
      <c r="X71" s="31"/>
    </row>
    <row r="72" spans="1:24" x14ac:dyDescent="0.25">
      <c r="A72" s="7"/>
      <c r="B72" s="6"/>
      <c r="C72" s="102"/>
      <c r="D72" s="109" t="s">
        <v>136</v>
      </c>
      <c r="E72" s="110"/>
      <c r="F72" s="106">
        <f t="shared" si="5"/>
        <v>0</v>
      </c>
      <c r="G72" s="106"/>
      <c r="H72" s="106"/>
      <c r="I72" s="106"/>
      <c r="J72" s="106"/>
      <c r="K72" s="106"/>
      <c r="L72" s="106"/>
      <c r="M72" s="106"/>
      <c r="N72" s="107"/>
      <c r="O72" s="40"/>
      <c r="P72" s="40"/>
      <c r="Q72" s="40"/>
      <c r="R72" s="40"/>
      <c r="S72" s="40"/>
      <c r="T72" s="40"/>
      <c r="U72" s="40"/>
      <c r="V72" s="16"/>
      <c r="W72" s="91"/>
      <c r="X72" s="31"/>
    </row>
    <row r="73" spans="1:24" x14ac:dyDescent="0.25">
      <c r="A73" s="7"/>
      <c r="B73" s="6"/>
      <c r="C73" s="102"/>
      <c r="D73" s="109" t="s">
        <v>137</v>
      </c>
      <c r="E73" s="110">
        <v>3600000</v>
      </c>
      <c r="F73" s="106">
        <f t="shared" si="5"/>
        <v>2268000</v>
      </c>
      <c r="G73" s="106"/>
      <c r="H73" s="106"/>
      <c r="I73" s="106"/>
      <c r="J73" s="106"/>
      <c r="K73" s="106"/>
      <c r="L73" s="106"/>
      <c r="M73" s="106"/>
      <c r="N73" s="107"/>
      <c r="O73" s="40"/>
      <c r="P73" s="40"/>
      <c r="Q73" s="40"/>
      <c r="R73" s="40"/>
      <c r="S73" s="40"/>
      <c r="T73" s="40"/>
      <c r="U73" s="40"/>
      <c r="V73" s="16"/>
      <c r="W73" s="91"/>
      <c r="X73" s="31"/>
    </row>
    <row r="74" spans="1:24" ht="15.75" x14ac:dyDescent="0.25">
      <c r="A74" s="7"/>
      <c r="B74" s="6"/>
      <c r="C74" s="102"/>
      <c r="D74" s="111" t="s">
        <v>138</v>
      </c>
      <c r="E74" s="112">
        <f>SUM(E62:E73)</f>
        <v>239700000</v>
      </c>
      <c r="F74" s="106">
        <f>SUM(F62:F73)</f>
        <v>151011000</v>
      </c>
      <c r="G74" s="106">
        <f>SUM(G62:G73)</f>
        <v>0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16"/>
      <c r="W74" s="91"/>
      <c r="X74" s="31"/>
    </row>
  </sheetData>
  <mergeCells count="37">
    <mergeCell ref="L63:N63"/>
    <mergeCell ref="L48:N48"/>
    <mergeCell ref="L49:N49"/>
    <mergeCell ref="L50:N50"/>
    <mergeCell ref="L51:N51"/>
    <mergeCell ref="L53:N53"/>
    <mergeCell ref="L54:N54"/>
    <mergeCell ref="L62:N62"/>
    <mergeCell ref="L55:N55"/>
    <mergeCell ref="L56:N56"/>
    <mergeCell ref="L57:N57"/>
    <mergeCell ref="L34:N34"/>
    <mergeCell ref="L35:N35"/>
    <mergeCell ref="L39:N39"/>
    <mergeCell ref="L40:N40"/>
    <mergeCell ref="C44:C45"/>
    <mergeCell ref="L41:N41"/>
    <mergeCell ref="L44:N44"/>
    <mergeCell ref="L38:N38"/>
    <mergeCell ref="L42:N42"/>
    <mergeCell ref="L43:N43"/>
    <mergeCell ref="O1:S1"/>
    <mergeCell ref="T1:V1"/>
    <mergeCell ref="L22:N22"/>
    <mergeCell ref="L23:N23"/>
    <mergeCell ref="L24:N24"/>
    <mergeCell ref="L4:N4"/>
    <mergeCell ref="J1:K1"/>
    <mergeCell ref="L1:N1"/>
    <mergeCell ref="A1:C1"/>
    <mergeCell ref="E1:G1"/>
    <mergeCell ref="H1:I1"/>
    <mergeCell ref="L25:N25"/>
    <mergeCell ref="L29:N29"/>
    <mergeCell ref="L31:N31"/>
    <mergeCell ref="L32:N32"/>
    <mergeCell ref="A2:B2"/>
  </mergeCells>
  <dataValidations count="22">
    <dataValidation type="list" allowBlank="1" showInputMessage="1" showErrorMessage="1" sqref="M65:N74">
      <formula1>list1</formula1>
    </dataValidation>
    <dataValidation type="list" allowBlank="1" showInputMessage="1" showErrorMessage="1" sqref="K66:K74">
      <formula1>list1</formula1>
    </dataValidation>
    <dataValidation type="list" allowBlank="1" showInputMessage="1" showErrorMessage="1" sqref="L61:L74">
      <formula1>list1</formula1>
    </dataValidation>
    <dataValidation type="list" allowBlank="1" showInputMessage="1" showErrorMessage="1" sqref="O61:V74">
      <formula1>list1</formula1>
    </dataValidation>
    <dataValidation type="list" allowBlank="1" showInputMessage="1" showErrorMessage="1" sqref="H61:J74">
      <formula1>list1</formula1>
    </dataValidation>
    <dataValidation type="list" allowBlank="1" showInputMessage="1" showErrorMessage="1" sqref="O3:S57">
      <formula1>list1</formula1>
    </dataValidation>
    <dataValidation type="list" allowBlank="1" showInputMessage="1" showErrorMessage="1" sqref="T3:U11">
      <formula1>list1</formula1>
    </dataValidation>
    <dataValidation type="list" allowBlank="1" showInputMessage="1" showErrorMessage="1" sqref="T13:U57">
      <formula1>list1</formula1>
    </dataValidation>
    <dataValidation type="list" allowBlank="1" showInputMessage="1" showErrorMessage="1" sqref="K61:K64">
      <formula1>list1</formula1>
    </dataValidation>
    <dataValidation type="list" allowBlank="1" showInputMessage="1" showErrorMessage="1" sqref="H38:L57">
      <formula1>list1</formula1>
    </dataValidation>
    <dataValidation type="list" allowBlank="1" showInputMessage="1" showErrorMessage="1" sqref="W3:X74">
      <formula1>list1</formula1>
    </dataValidation>
    <dataValidation type="list" allowBlank="1" showInputMessage="1" showErrorMessage="1" sqref="V3:V57">
      <formula1>list1</formula1>
    </dataValidation>
    <dataValidation type="list" allowBlank="1" showInputMessage="1" showErrorMessage="1" sqref="M36:N37">
      <formula1>list1</formula1>
    </dataValidation>
    <dataValidation type="list" allowBlank="1" showInputMessage="1" showErrorMessage="1" sqref="T12">
      <formula1>list1</formula1>
    </dataValidation>
    <dataValidation type="list" allowBlank="1" showInputMessage="1" showErrorMessage="1" sqref="H3:L37">
      <formula1>list1</formula1>
    </dataValidation>
    <dataValidation type="list" allowBlank="1" showInputMessage="1" showErrorMessage="1" sqref="M33:N33">
      <formula1>list1</formula1>
    </dataValidation>
    <dataValidation type="list" allowBlank="1" showInputMessage="1" showErrorMessage="1" sqref="M26:N28">
      <formula1>list1</formula1>
    </dataValidation>
    <dataValidation type="list" allowBlank="1" showInputMessage="1" showErrorMessage="1" sqref="M30:N30">
      <formula1>list1</formula1>
    </dataValidation>
    <dataValidation type="list" allowBlank="1" showInputMessage="1" showErrorMessage="1" sqref="M3:N3">
      <formula1>list1</formula1>
    </dataValidation>
    <dataValidation type="list" allowBlank="1" showInputMessage="1" showErrorMessage="1" sqref="M5:N21">
      <formula1>list1</formula1>
    </dataValidation>
    <dataValidation type="list" allowBlank="1" showInputMessage="1" showErrorMessage="1" sqref="H58:V60">
      <formula1>list3</formula1>
    </dataValidation>
    <dataValidation type="list" allowBlank="1" showInputMessage="1" showErrorMessage="1" sqref="E3:G74">
      <formula1>list3</formula1>
    </dataValidation>
  </dataValidations>
  <printOptions horizontalCentered="1" verticalCentered="1"/>
  <pageMargins left="0.19685039370078741" right="0.15748031496062992" top="0.19685039370078741" bottom="0.19685039370078741" header="0.23622047244094491" footer="0.23622047244094491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4"/>
  <sheetViews>
    <sheetView tabSelected="1" view="pageBreakPreview" topLeftCell="C1" zoomScale="73" zoomScaleNormal="100" zoomScaleSheetLayoutView="73" workbookViewId="0">
      <selection activeCell="W49" sqref="W49"/>
    </sheetView>
  </sheetViews>
  <sheetFormatPr defaultRowHeight="15" x14ac:dyDescent="0.25"/>
  <cols>
    <col min="1" max="1" width="7" style="1" customWidth="1"/>
    <col min="2" max="2" width="31.85546875" style="1" customWidth="1"/>
    <col min="3" max="3" width="6.85546875" style="2" customWidth="1"/>
    <col min="4" max="4" width="34.5703125" style="2" customWidth="1"/>
    <col min="5" max="5" width="15.5703125" style="1" customWidth="1"/>
    <col min="6" max="6" width="14.7109375" style="1" customWidth="1"/>
    <col min="7" max="7" width="10" style="1" customWidth="1"/>
    <col min="8" max="8" width="13.5703125" style="1" customWidth="1"/>
    <col min="9" max="9" width="13" style="1" customWidth="1"/>
    <col min="10" max="10" width="13.42578125" style="1" customWidth="1"/>
    <col min="11" max="11" width="12.85546875" style="1" customWidth="1"/>
    <col min="12" max="12" width="15.140625" style="1" customWidth="1"/>
    <col min="13" max="13" width="13.5703125" style="1" customWidth="1"/>
    <col min="14" max="14" width="13.7109375" style="1" customWidth="1"/>
    <col min="15" max="15" width="13" style="1" customWidth="1"/>
    <col min="16" max="17" width="13.42578125" style="1" customWidth="1"/>
    <col min="18" max="18" width="13.7109375" style="1" customWidth="1"/>
    <col min="19" max="19" width="13.42578125" style="1" customWidth="1"/>
    <col min="20" max="20" width="14.140625" style="1" customWidth="1"/>
    <col min="21" max="21" width="13" style="1" customWidth="1"/>
    <col min="22" max="22" width="12.5703125" style="1" customWidth="1"/>
    <col min="23" max="23" width="14.5703125" style="145" customWidth="1"/>
    <col min="24" max="24" width="5.7109375" style="1" customWidth="1"/>
    <col min="25" max="16384" width="9.140625" style="1"/>
  </cols>
  <sheetData>
    <row r="1" spans="1:24" ht="21.75" customHeight="1" x14ac:dyDescent="0.25">
      <c r="A1" s="158" t="s">
        <v>50</v>
      </c>
      <c r="B1" s="158"/>
      <c r="C1" s="158"/>
      <c r="D1" s="23"/>
      <c r="E1" s="159" t="s">
        <v>49</v>
      </c>
      <c r="F1" s="157"/>
      <c r="G1" s="160"/>
      <c r="H1" s="159" t="s">
        <v>48</v>
      </c>
      <c r="I1" s="157"/>
      <c r="J1" s="156" t="s">
        <v>47</v>
      </c>
      <c r="K1" s="157"/>
      <c r="L1" s="156" t="s">
        <v>46</v>
      </c>
      <c r="M1" s="157"/>
      <c r="N1" s="157"/>
      <c r="O1" s="156" t="s">
        <v>45</v>
      </c>
      <c r="P1" s="157"/>
      <c r="Q1" s="157"/>
      <c r="R1" s="157"/>
      <c r="S1" s="157"/>
      <c r="T1" s="156" t="s">
        <v>44</v>
      </c>
      <c r="U1" s="157"/>
      <c r="V1" s="161"/>
      <c r="W1" s="139"/>
      <c r="X1" s="29"/>
    </row>
    <row r="2" spans="1:24" ht="15.75" thickBot="1" x14ac:dyDescent="0.3">
      <c r="A2" s="155" t="s">
        <v>43</v>
      </c>
      <c r="B2" s="155"/>
      <c r="C2" s="128" t="s">
        <v>42</v>
      </c>
      <c r="D2" s="128"/>
      <c r="E2" s="20" t="s">
        <v>41</v>
      </c>
      <c r="F2" s="19" t="s">
        <v>40</v>
      </c>
      <c r="G2" s="21" t="s">
        <v>39</v>
      </c>
      <c r="H2" s="20" t="s">
        <v>38</v>
      </c>
      <c r="I2" s="19" t="s">
        <v>37</v>
      </c>
      <c r="J2" s="19" t="s">
        <v>36</v>
      </c>
      <c r="K2" s="19" t="s">
        <v>35</v>
      </c>
      <c r="L2" s="19" t="s">
        <v>34</v>
      </c>
      <c r="M2" s="19" t="s">
        <v>33</v>
      </c>
      <c r="N2" s="19" t="s">
        <v>32</v>
      </c>
      <c r="O2" s="19" t="s">
        <v>31</v>
      </c>
      <c r="P2" s="19" t="s">
        <v>30</v>
      </c>
      <c r="Q2" s="19" t="s">
        <v>29</v>
      </c>
      <c r="R2" s="19" t="s">
        <v>28</v>
      </c>
      <c r="S2" s="19" t="s">
        <v>27</v>
      </c>
      <c r="T2" s="19" t="s">
        <v>26</v>
      </c>
      <c r="U2" s="19" t="s">
        <v>25</v>
      </c>
      <c r="V2" s="18" t="s">
        <v>24</v>
      </c>
      <c r="W2" s="140" t="s">
        <v>57</v>
      </c>
      <c r="X2" s="30"/>
    </row>
    <row r="3" spans="1:24" ht="25.5" customHeight="1" x14ac:dyDescent="0.25">
      <c r="A3" s="11" t="s">
        <v>21</v>
      </c>
      <c r="B3" s="10" t="s">
        <v>20</v>
      </c>
      <c r="C3" s="9">
        <v>1</v>
      </c>
      <c r="D3" s="24"/>
      <c r="E3" s="35"/>
      <c r="F3" s="36"/>
      <c r="G3" s="82"/>
      <c r="H3" s="85"/>
      <c r="I3" s="82"/>
      <c r="J3" s="85"/>
      <c r="K3" s="82"/>
      <c r="L3" s="85"/>
      <c r="M3" s="37"/>
      <c r="N3" s="82"/>
      <c r="O3" s="85"/>
      <c r="P3" s="37"/>
      <c r="Q3" s="37"/>
      <c r="R3" s="37"/>
      <c r="S3" s="82"/>
      <c r="T3" s="85"/>
      <c r="U3" s="37"/>
      <c r="V3" s="17"/>
      <c r="W3" s="141"/>
      <c r="X3" s="31"/>
    </row>
    <row r="4" spans="1:24" ht="25.5" customHeight="1" x14ac:dyDescent="0.25">
      <c r="A4" s="26"/>
      <c r="B4" s="27"/>
      <c r="C4" s="28" t="s">
        <v>51</v>
      </c>
      <c r="D4" s="33" t="s">
        <v>54</v>
      </c>
      <c r="E4" s="122"/>
      <c r="F4" s="123"/>
      <c r="G4" s="124"/>
      <c r="H4" s="86">
        <f>870000*0.53</f>
        <v>461100</v>
      </c>
      <c r="I4" s="83"/>
      <c r="J4" s="86">
        <f>300000*0.53</f>
        <v>159000</v>
      </c>
      <c r="K4" s="83"/>
      <c r="L4" s="86">
        <f>150000*0.53</f>
        <v>79500</v>
      </c>
      <c r="M4" s="40"/>
      <c r="N4" s="83"/>
      <c r="O4" s="86">
        <f>280000*0.53</f>
        <v>148400</v>
      </c>
      <c r="P4" s="40">
        <f>50000*0.53</f>
        <v>26500</v>
      </c>
      <c r="Q4" s="40"/>
      <c r="R4" s="40">
        <f>50000*0.53</f>
        <v>26500</v>
      </c>
      <c r="S4" s="83"/>
      <c r="T4" s="86"/>
      <c r="U4" s="40"/>
      <c r="V4" s="32"/>
      <c r="W4" s="142">
        <f>SUM(E4:V4)</f>
        <v>901000</v>
      </c>
      <c r="X4" s="31"/>
    </row>
    <row r="5" spans="1:24" ht="25.5" customHeight="1" x14ac:dyDescent="0.25">
      <c r="A5" s="26"/>
      <c r="B5" s="27"/>
      <c r="C5" s="28" t="s">
        <v>52</v>
      </c>
      <c r="D5" s="33" t="s">
        <v>55</v>
      </c>
      <c r="E5" s="122"/>
      <c r="F5" s="123"/>
      <c r="G5" s="124"/>
      <c r="H5" s="86"/>
      <c r="I5" s="83"/>
      <c r="J5" s="86"/>
      <c r="K5" s="83"/>
      <c r="L5" s="86"/>
      <c r="M5" s="40"/>
      <c r="N5" s="83"/>
      <c r="O5" s="86"/>
      <c r="P5" s="40"/>
      <c r="Q5" s="40"/>
      <c r="R5" s="40"/>
      <c r="S5" s="83"/>
      <c r="T5" s="86"/>
      <c r="U5" s="40"/>
      <c r="V5" s="32"/>
      <c r="W5" s="142"/>
      <c r="X5" s="31"/>
    </row>
    <row r="6" spans="1:24" ht="25.5" customHeight="1" thickBot="1" x14ac:dyDescent="0.3">
      <c r="A6" s="45"/>
      <c r="B6" s="46"/>
      <c r="C6" s="47" t="s">
        <v>53</v>
      </c>
      <c r="D6" s="48" t="s">
        <v>56</v>
      </c>
      <c r="E6" s="125"/>
      <c r="F6" s="126"/>
      <c r="G6" s="127"/>
      <c r="H6" s="87">
        <f>300000*0.53</f>
        <v>159000</v>
      </c>
      <c r="I6" s="84"/>
      <c r="J6" s="87"/>
      <c r="K6" s="84"/>
      <c r="L6" s="87"/>
      <c r="M6" s="51"/>
      <c r="N6" s="84"/>
      <c r="O6" s="87"/>
      <c r="P6" s="51"/>
      <c r="Q6" s="51"/>
      <c r="R6" s="51"/>
      <c r="S6" s="84"/>
      <c r="T6" s="87"/>
      <c r="U6" s="51"/>
      <c r="V6" s="52"/>
      <c r="W6" s="138">
        <f>H6</f>
        <v>159000</v>
      </c>
      <c r="X6" s="31"/>
    </row>
    <row r="7" spans="1:24" ht="25.5" customHeight="1" x14ac:dyDescent="0.25">
      <c r="A7" s="11" t="s">
        <v>19</v>
      </c>
      <c r="B7" s="10" t="s">
        <v>18</v>
      </c>
      <c r="C7" s="9">
        <v>3</v>
      </c>
      <c r="D7" s="34"/>
      <c r="E7" s="35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17"/>
      <c r="W7" s="141"/>
      <c r="X7" s="31"/>
    </row>
    <row r="8" spans="1:24" ht="25.5" customHeight="1" x14ac:dyDescent="0.25">
      <c r="A8" s="7"/>
      <c r="B8" s="6"/>
      <c r="C8" s="3" t="s">
        <v>58</v>
      </c>
      <c r="D8" s="33" t="s">
        <v>60</v>
      </c>
      <c r="E8" s="38"/>
      <c r="F8" s="39"/>
      <c r="G8" s="40"/>
      <c r="H8" s="40"/>
      <c r="I8" s="40"/>
      <c r="J8" s="40">
        <f>600000*0.53</f>
        <v>318000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16"/>
      <c r="W8" s="142">
        <f>SUM(E8:V8)</f>
        <v>318000</v>
      </c>
      <c r="X8" s="31"/>
    </row>
    <row r="9" spans="1:24" ht="36" customHeight="1" thickBot="1" x14ac:dyDescent="0.3">
      <c r="A9" s="15"/>
      <c r="B9" s="14"/>
      <c r="C9" s="13" t="s">
        <v>59</v>
      </c>
      <c r="D9" s="48" t="s">
        <v>61</v>
      </c>
      <c r="E9" s="49"/>
      <c r="F9" s="50"/>
      <c r="G9" s="51"/>
      <c r="H9" s="51"/>
      <c r="I9" s="51"/>
      <c r="J9" s="51">
        <f>400000*0.53</f>
        <v>212000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12"/>
      <c r="W9" s="138">
        <f>SUM(J9:V9)</f>
        <v>212000</v>
      </c>
      <c r="X9" s="31"/>
    </row>
    <row r="10" spans="1:24" ht="17.25" customHeight="1" x14ac:dyDescent="0.25">
      <c r="A10" s="11" t="s">
        <v>17</v>
      </c>
      <c r="B10" s="10" t="s">
        <v>16</v>
      </c>
      <c r="C10" s="9">
        <v>4</v>
      </c>
      <c r="D10" s="34"/>
      <c r="E10" s="35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17"/>
      <c r="W10" s="141"/>
      <c r="X10" s="31"/>
    </row>
    <row r="11" spans="1:24" x14ac:dyDescent="0.25">
      <c r="A11" s="7"/>
      <c r="B11" s="6"/>
      <c r="C11" s="3" t="s">
        <v>62</v>
      </c>
      <c r="D11" s="33" t="s">
        <v>63</v>
      </c>
      <c r="E11" s="38"/>
      <c r="F11" s="39"/>
      <c r="G11" s="40"/>
      <c r="H11" s="40">
        <f>14000000*0.53</f>
        <v>7420000</v>
      </c>
      <c r="I11" s="40">
        <f>11000000*0.53</f>
        <v>5830000</v>
      </c>
      <c r="J11" s="40"/>
      <c r="K11" s="40"/>
      <c r="L11" s="40"/>
      <c r="M11" s="40"/>
      <c r="N11" s="40"/>
      <c r="O11" s="40">
        <f>3000000*0.53</f>
        <v>1590000</v>
      </c>
      <c r="P11" s="40">
        <f>2000000*0.53</f>
        <v>1060000</v>
      </c>
      <c r="Q11" s="40">
        <f>3700000*0.53</f>
        <v>1961000</v>
      </c>
      <c r="R11" s="40">
        <v>0</v>
      </c>
      <c r="S11" s="40"/>
      <c r="T11" s="40"/>
      <c r="U11" s="40"/>
      <c r="V11" s="16"/>
      <c r="W11" s="142">
        <f>SUM(G11:V11)</f>
        <v>17861000</v>
      </c>
      <c r="X11" s="31"/>
    </row>
    <row r="12" spans="1:24" ht="33.75" x14ac:dyDescent="0.25">
      <c r="A12" s="7"/>
      <c r="B12" s="6"/>
      <c r="C12" s="3" t="s">
        <v>64</v>
      </c>
      <c r="D12" s="33" t="s">
        <v>65</v>
      </c>
      <c r="E12" s="38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>
        <f>15000000*0.53</f>
        <v>7950000</v>
      </c>
      <c r="V12" s="16"/>
      <c r="W12" s="142">
        <f>SUM(P12:T12)</f>
        <v>7950000</v>
      </c>
      <c r="X12" s="31"/>
    </row>
    <row r="13" spans="1:24" ht="34.5" thickBot="1" x14ac:dyDescent="0.3">
      <c r="A13" s="15"/>
      <c r="B13" s="14"/>
      <c r="C13" s="13" t="s">
        <v>66</v>
      </c>
      <c r="D13" s="48" t="s">
        <v>67</v>
      </c>
      <c r="E13" s="49"/>
      <c r="F13" s="50"/>
      <c r="G13" s="51"/>
      <c r="H13" s="51"/>
      <c r="I13" s="51"/>
      <c r="J13" s="51"/>
      <c r="K13" s="51"/>
      <c r="L13" s="51"/>
      <c r="M13" s="51"/>
      <c r="N13" s="51"/>
      <c r="O13" s="51">
        <f>4000000*0.53</f>
        <v>2120000</v>
      </c>
      <c r="P13" s="51"/>
      <c r="Q13" s="51">
        <f>1000000*0.53</f>
        <v>530000</v>
      </c>
      <c r="R13" s="51"/>
      <c r="S13" s="51"/>
      <c r="T13" s="51"/>
      <c r="U13" s="51"/>
      <c r="V13" s="12"/>
      <c r="W13" s="138">
        <f>SUM(O13:V13)</f>
        <v>2650000</v>
      </c>
      <c r="X13" s="31"/>
    </row>
    <row r="14" spans="1:24" x14ac:dyDescent="0.25">
      <c r="A14" s="11" t="s">
        <v>15</v>
      </c>
      <c r="B14" s="53" t="s">
        <v>14</v>
      </c>
      <c r="C14" s="9">
        <v>6</v>
      </c>
      <c r="D14" s="34"/>
      <c r="E14" s="35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17"/>
      <c r="W14" s="141"/>
      <c r="X14" s="31"/>
    </row>
    <row r="15" spans="1:24" ht="15.75" thickBot="1" x14ac:dyDescent="0.3">
      <c r="A15" s="15"/>
      <c r="B15" s="54"/>
      <c r="C15" s="13" t="s">
        <v>68</v>
      </c>
      <c r="D15" s="48" t="s">
        <v>69</v>
      </c>
      <c r="E15" s="49"/>
      <c r="F15" s="50"/>
      <c r="G15" s="51"/>
      <c r="H15" s="51">
        <v>0</v>
      </c>
      <c r="I15" s="51">
        <f>7500000*0.53</f>
        <v>3975000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12"/>
      <c r="W15" s="138">
        <f>SUM(H15:V15)</f>
        <v>3975000</v>
      </c>
      <c r="X15" s="31"/>
    </row>
    <row r="16" spans="1:24" ht="25.5" customHeight="1" x14ac:dyDescent="0.25">
      <c r="A16" s="11" t="s">
        <v>13</v>
      </c>
      <c r="B16" s="10" t="s">
        <v>12</v>
      </c>
      <c r="C16" s="9">
        <v>7</v>
      </c>
      <c r="D16" s="34"/>
      <c r="E16" s="35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17"/>
      <c r="W16" s="141"/>
      <c r="X16" s="31"/>
    </row>
    <row r="17" spans="1:24" ht="25.5" customHeight="1" x14ac:dyDescent="0.25">
      <c r="A17" s="7"/>
      <c r="B17" s="6"/>
      <c r="C17" s="3">
        <v>7.2</v>
      </c>
      <c r="D17" s="33" t="s">
        <v>144</v>
      </c>
      <c r="E17" s="38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>
        <f>7000000*0.53</f>
        <v>3710000</v>
      </c>
      <c r="V17" s="44">
        <v>0</v>
      </c>
      <c r="W17" s="142">
        <f>SUM(E17:V17)</f>
        <v>3710000</v>
      </c>
      <c r="X17" s="31"/>
    </row>
    <row r="18" spans="1:24" ht="25.5" customHeight="1" x14ac:dyDescent="0.25">
      <c r="A18" s="7"/>
      <c r="B18" s="6"/>
      <c r="C18" s="3">
        <v>7.3</v>
      </c>
      <c r="D18" s="33" t="s">
        <v>70</v>
      </c>
      <c r="E18" s="38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4">
        <f>600000*0.53</f>
        <v>318000</v>
      </c>
      <c r="W18" s="142">
        <f>V18</f>
        <v>318000</v>
      </c>
      <c r="X18" s="31"/>
    </row>
    <row r="19" spans="1:24" ht="25.5" customHeight="1" x14ac:dyDescent="0.25">
      <c r="A19" s="7"/>
      <c r="B19" s="6"/>
      <c r="C19" s="3" t="s">
        <v>71</v>
      </c>
      <c r="D19" s="33" t="s">
        <v>72</v>
      </c>
      <c r="E19" s="38"/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>
        <f>2900000*0.53</f>
        <v>1537000</v>
      </c>
      <c r="V19" s="16"/>
      <c r="W19" s="142">
        <f t="shared" ref="W19:W56" si="0">SUM(E19:V19)</f>
        <v>1537000</v>
      </c>
      <c r="X19" s="31"/>
    </row>
    <row r="20" spans="1:24" ht="25.5" customHeight="1" thickBot="1" x14ac:dyDescent="0.3">
      <c r="A20" s="15"/>
      <c r="B20" s="14"/>
      <c r="C20" s="13" t="s">
        <v>73</v>
      </c>
      <c r="D20" s="48" t="s">
        <v>74</v>
      </c>
      <c r="E20" s="49"/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>
        <f>4500000*0.53</f>
        <v>2385000</v>
      </c>
      <c r="V20" s="12"/>
      <c r="W20" s="138">
        <f t="shared" si="0"/>
        <v>2385000</v>
      </c>
      <c r="X20" s="31"/>
    </row>
    <row r="21" spans="1:24" ht="45" customHeight="1" x14ac:dyDescent="0.25">
      <c r="A21" s="55" t="s">
        <v>11</v>
      </c>
      <c r="B21" s="10" t="s">
        <v>10</v>
      </c>
      <c r="C21" s="9">
        <v>8</v>
      </c>
      <c r="D21" s="34"/>
      <c r="E21" s="35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7"/>
      <c r="W21" s="141">
        <f t="shared" si="0"/>
        <v>0</v>
      </c>
      <c r="X21" s="31"/>
    </row>
    <row r="22" spans="1:24" ht="45" customHeight="1" x14ac:dyDescent="0.25">
      <c r="A22" s="5"/>
      <c r="B22" s="6"/>
      <c r="C22" s="3" t="s">
        <v>75</v>
      </c>
      <c r="D22" s="33" t="s">
        <v>119</v>
      </c>
      <c r="E22" s="38"/>
      <c r="F22" s="39"/>
      <c r="G22" s="40"/>
      <c r="H22" s="40"/>
      <c r="I22" s="40"/>
      <c r="J22" s="40"/>
      <c r="K22" s="40"/>
      <c r="L22" s="152">
        <f>1000000*0.53</f>
        <v>530000</v>
      </c>
      <c r="M22" s="153"/>
      <c r="N22" s="154"/>
      <c r="O22" s="40"/>
      <c r="P22" s="40"/>
      <c r="Q22" s="40"/>
      <c r="R22" s="40"/>
      <c r="S22" s="40"/>
      <c r="T22" s="40"/>
      <c r="U22" s="40"/>
      <c r="V22" s="16"/>
      <c r="W22" s="142">
        <f t="shared" si="0"/>
        <v>530000</v>
      </c>
      <c r="X22" s="31"/>
    </row>
    <row r="23" spans="1:24" ht="45" customHeight="1" x14ac:dyDescent="0.25">
      <c r="A23" s="5"/>
      <c r="B23" s="6"/>
      <c r="C23" s="3">
        <v>8.3000000000000007</v>
      </c>
      <c r="D23" s="33" t="s">
        <v>120</v>
      </c>
      <c r="E23" s="38"/>
      <c r="F23" s="39"/>
      <c r="G23" s="40"/>
      <c r="H23" s="40"/>
      <c r="I23" s="40"/>
      <c r="J23" s="40"/>
      <c r="K23" s="40"/>
      <c r="L23" s="152">
        <f>2000000*0.53</f>
        <v>1060000</v>
      </c>
      <c r="M23" s="153"/>
      <c r="N23" s="154"/>
      <c r="O23" s="40"/>
      <c r="P23" s="40"/>
      <c r="Q23" s="40"/>
      <c r="R23" s="40"/>
      <c r="S23" s="40"/>
      <c r="T23" s="40"/>
      <c r="U23" s="40"/>
      <c r="V23" s="16"/>
      <c r="W23" s="142">
        <f t="shared" si="0"/>
        <v>1060000</v>
      </c>
      <c r="X23" s="31"/>
    </row>
    <row r="24" spans="1:24" ht="45" customHeight="1" x14ac:dyDescent="0.25">
      <c r="A24" s="5"/>
      <c r="B24" s="6"/>
      <c r="C24" s="3">
        <v>8.4</v>
      </c>
      <c r="D24" s="33" t="s">
        <v>121</v>
      </c>
      <c r="E24" s="38"/>
      <c r="F24" s="39"/>
      <c r="G24" s="40"/>
      <c r="H24" s="40"/>
      <c r="I24" s="40"/>
      <c r="J24" s="40"/>
      <c r="K24" s="40"/>
      <c r="L24" s="152">
        <f>500000*0.53</f>
        <v>265000</v>
      </c>
      <c r="M24" s="153"/>
      <c r="N24" s="154"/>
      <c r="O24" s="40"/>
      <c r="P24" s="40"/>
      <c r="Q24" s="40"/>
      <c r="R24" s="40"/>
      <c r="S24" s="40"/>
      <c r="T24" s="40"/>
      <c r="U24" s="40"/>
      <c r="V24" s="16"/>
      <c r="W24" s="142">
        <f t="shared" si="0"/>
        <v>265000</v>
      </c>
      <c r="X24" s="31"/>
    </row>
    <row r="25" spans="1:24" ht="45" customHeight="1" thickBot="1" x14ac:dyDescent="0.3">
      <c r="A25" s="56"/>
      <c r="B25" s="14"/>
      <c r="C25" s="13">
        <v>8.5</v>
      </c>
      <c r="D25" s="48" t="s">
        <v>122</v>
      </c>
      <c r="E25" s="49"/>
      <c r="F25" s="50"/>
      <c r="G25" s="51"/>
      <c r="H25" s="51"/>
      <c r="I25" s="51"/>
      <c r="J25" s="51"/>
      <c r="K25" s="51"/>
      <c r="L25" s="149">
        <f>3000000*0.53</f>
        <v>1590000</v>
      </c>
      <c r="M25" s="150"/>
      <c r="N25" s="151"/>
      <c r="O25" s="51"/>
      <c r="P25" s="51"/>
      <c r="Q25" s="51"/>
      <c r="R25" s="51"/>
      <c r="S25" s="51"/>
      <c r="T25" s="51"/>
      <c r="U25" s="51"/>
      <c r="V25" s="12"/>
      <c r="W25" s="138">
        <f t="shared" si="0"/>
        <v>1590000</v>
      </c>
      <c r="X25" s="31"/>
    </row>
    <row r="26" spans="1:24" ht="25.5" x14ac:dyDescent="0.25">
      <c r="A26" s="11" t="s">
        <v>9</v>
      </c>
      <c r="B26" s="57" t="s">
        <v>8</v>
      </c>
      <c r="C26" s="9">
        <v>9</v>
      </c>
      <c r="D26" s="34"/>
      <c r="E26" s="35"/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17"/>
      <c r="W26" s="141">
        <f t="shared" si="0"/>
        <v>0</v>
      </c>
      <c r="X26" s="31"/>
    </row>
    <row r="27" spans="1:24" ht="23.25" thickBot="1" x14ac:dyDescent="0.3">
      <c r="A27" s="15"/>
      <c r="B27" s="58"/>
      <c r="C27" s="13" t="s">
        <v>76</v>
      </c>
      <c r="D27" s="48" t="s">
        <v>80</v>
      </c>
      <c r="E27" s="49"/>
      <c r="F27" s="50"/>
      <c r="G27" s="51"/>
      <c r="H27" s="51"/>
      <c r="I27" s="51"/>
      <c r="J27" s="51">
        <f>3000000*0.53</f>
        <v>1590000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12"/>
      <c r="W27" s="138">
        <f t="shared" si="0"/>
        <v>1590000</v>
      </c>
      <c r="X27" s="31"/>
    </row>
    <row r="28" spans="1:24" x14ac:dyDescent="0.25">
      <c r="A28" s="11" t="s">
        <v>77</v>
      </c>
      <c r="B28" s="57" t="s">
        <v>78</v>
      </c>
      <c r="C28" s="9">
        <v>10</v>
      </c>
      <c r="D28" s="34"/>
      <c r="E28" s="35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17"/>
      <c r="W28" s="141">
        <f t="shared" si="0"/>
        <v>0</v>
      </c>
      <c r="X28" s="31"/>
    </row>
    <row r="29" spans="1:24" ht="23.25" thickBot="1" x14ac:dyDescent="0.3">
      <c r="A29" s="15"/>
      <c r="B29" s="58"/>
      <c r="C29" s="13" t="s">
        <v>79</v>
      </c>
      <c r="D29" s="48" t="s">
        <v>81</v>
      </c>
      <c r="E29" s="49"/>
      <c r="F29" s="50"/>
      <c r="G29" s="51"/>
      <c r="H29" s="51"/>
      <c r="I29" s="51"/>
      <c r="J29" s="51"/>
      <c r="K29" s="51"/>
      <c r="L29" s="149">
        <f>58000000*0.53</f>
        <v>30740000</v>
      </c>
      <c r="M29" s="150"/>
      <c r="N29" s="151"/>
      <c r="O29" s="51"/>
      <c r="P29" s="51"/>
      <c r="Q29" s="51"/>
      <c r="R29" s="51"/>
      <c r="S29" s="51"/>
      <c r="T29" s="51"/>
      <c r="U29" s="51"/>
      <c r="V29" s="12"/>
      <c r="W29" s="138">
        <f t="shared" si="0"/>
        <v>30740000</v>
      </c>
      <c r="X29" s="31"/>
    </row>
    <row r="30" spans="1:24" x14ac:dyDescent="0.25">
      <c r="A30" s="11" t="s">
        <v>7</v>
      </c>
      <c r="B30" s="10" t="s">
        <v>6</v>
      </c>
      <c r="C30" s="9">
        <v>11</v>
      </c>
      <c r="D30" s="34"/>
      <c r="E30" s="35"/>
      <c r="F30" s="36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17"/>
      <c r="W30" s="141">
        <f t="shared" si="0"/>
        <v>0</v>
      </c>
      <c r="X30" s="31"/>
    </row>
    <row r="31" spans="1:24" ht="22.5" x14ac:dyDescent="0.25">
      <c r="A31" s="7"/>
      <c r="B31" s="6"/>
      <c r="C31" s="3" t="s">
        <v>82</v>
      </c>
      <c r="D31" s="33" t="s">
        <v>84</v>
      </c>
      <c r="E31" s="38"/>
      <c r="F31" s="39"/>
      <c r="G31" s="40"/>
      <c r="H31" s="40"/>
      <c r="I31" s="40"/>
      <c r="J31" s="40"/>
      <c r="K31" s="40"/>
      <c r="L31" s="152">
        <f>4000000*0.53</f>
        <v>2120000</v>
      </c>
      <c r="M31" s="153"/>
      <c r="N31" s="154"/>
      <c r="O31" s="40"/>
      <c r="P31" s="40"/>
      <c r="Q31" s="40"/>
      <c r="R31" s="40"/>
      <c r="S31" s="40"/>
      <c r="T31" s="40"/>
      <c r="U31" s="40"/>
      <c r="V31" s="16"/>
      <c r="W31" s="142">
        <f t="shared" si="0"/>
        <v>2120000</v>
      </c>
      <c r="X31" s="31"/>
    </row>
    <row r="32" spans="1:24" ht="23.25" thickBot="1" x14ac:dyDescent="0.3">
      <c r="A32" s="15"/>
      <c r="B32" s="14"/>
      <c r="C32" s="13" t="s">
        <v>83</v>
      </c>
      <c r="D32" s="48" t="s">
        <v>85</v>
      </c>
      <c r="E32" s="49"/>
      <c r="F32" s="50"/>
      <c r="G32" s="51"/>
      <c r="H32" s="51"/>
      <c r="I32" s="51"/>
      <c r="J32" s="51"/>
      <c r="K32" s="51"/>
      <c r="L32" s="149">
        <f>10000000*0.53</f>
        <v>5300000</v>
      </c>
      <c r="M32" s="150"/>
      <c r="N32" s="151"/>
      <c r="O32" s="51"/>
      <c r="P32" s="51"/>
      <c r="Q32" s="51"/>
      <c r="R32" s="51"/>
      <c r="S32" s="51"/>
      <c r="T32" s="51"/>
      <c r="U32" s="51"/>
      <c r="V32" s="12"/>
      <c r="W32" s="138">
        <f t="shared" si="0"/>
        <v>5300000</v>
      </c>
      <c r="X32" s="31"/>
    </row>
    <row r="33" spans="1:24" ht="25.5" customHeight="1" x14ac:dyDescent="0.25">
      <c r="A33" s="11" t="s">
        <v>5</v>
      </c>
      <c r="B33" s="10" t="s">
        <v>4</v>
      </c>
      <c r="C33" s="9">
        <v>12</v>
      </c>
      <c r="D33" s="34"/>
      <c r="E33" s="35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17"/>
      <c r="W33" s="141">
        <f t="shared" si="0"/>
        <v>0</v>
      </c>
      <c r="X33" s="31"/>
    </row>
    <row r="34" spans="1:24" ht="25.5" customHeight="1" x14ac:dyDescent="0.25">
      <c r="A34" s="7"/>
      <c r="B34" s="6"/>
      <c r="C34" s="3" t="s">
        <v>86</v>
      </c>
      <c r="D34" s="33" t="s">
        <v>87</v>
      </c>
      <c r="E34" s="38"/>
      <c r="F34" s="39"/>
      <c r="G34" s="40"/>
      <c r="H34" s="40"/>
      <c r="I34" s="40"/>
      <c r="J34" s="40"/>
      <c r="K34" s="40"/>
      <c r="L34" s="152">
        <f>2500000*0.53</f>
        <v>1325000</v>
      </c>
      <c r="M34" s="153"/>
      <c r="N34" s="154"/>
      <c r="O34" s="40"/>
      <c r="P34" s="40"/>
      <c r="Q34" s="40"/>
      <c r="R34" s="40"/>
      <c r="S34" s="40"/>
      <c r="T34" s="40"/>
      <c r="U34" s="40"/>
      <c r="V34" s="16"/>
      <c r="W34" s="142">
        <f t="shared" si="0"/>
        <v>1325000</v>
      </c>
      <c r="X34" s="31"/>
    </row>
    <row r="35" spans="1:24" ht="25.5" customHeight="1" x14ac:dyDescent="0.25">
      <c r="A35" s="7"/>
      <c r="B35" s="6"/>
      <c r="C35" s="3" t="s">
        <v>123</v>
      </c>
      <c r="D35" s="33" t="s">
        <v>88</v>
      </c>
      <c r="E35" s="38"/>
      <c r="F35" s="39"/>
      <c r="G35" s="40"/>
      <c r="H35" s="40"/>
      <c r="I35" s="40"/>
      <c r="J35" s="40"/>
      <c r="K35" s="40"/>
      <c r="L35" s="152">
        <f>400000*0.53</f>
        <v>212000</v>
      </c>
      <c r="M35" s="153"/>
      <c r="N35" s="154"/>
      <c r="O35" s="40"/>
      <c r="P35" s="40"/>
      <c r="Q35" s="40"/>
      <c r="R35" s="40"/>
      <c r="S35" s="40"/>
      <c r="T35" s="40"/>
      <c r="U35" s="40"/>
      <c r="V35" s="16"/>
      <c r="W35" s="142">
        <f t="shared" si="0"/>
        <v>212000</v>
      </c>
      <c r="X35" s="31"/>
    </row>
    <row r="36" spans="1:24" ht="25.5" customHeight="1" thickBot="1" x14ac:dyDescent="0.3">
      <c r="A36" s="15"/>
      <c r="B36" s="14"/>
      <c r="C36" s="13" t="s">
        <v>124</v>
      </c>
      <c r="D36" s="48" t="s">
        <v>89</v>
      </c>
      <c r="E36" s="49"/>
      <c r="F36" s="50"/>
      <c r="G36" s="51"/>
      <c r="H36" s="51"/>
      <c r="I36" s="51"/>
      <c r="J36" s="51"/>
      <c r="K36" s="51"/>
      <c r="L36" s="51"/>
      <c r="M36" s="51">
        <v>0</v>
      </c>
      <c r="N36" s="51"/>
      <c r="O36" s="51"/>
      <c r="P36" s="51"/>
      <c r="Q36" s="51"/>
      <c r="R36" s="51"/>
      <c r="S36" s="51"/>
      <c r="T36" s="51"/>
      <c r="U36" s="51"/>
      <c r="V36" s="12"/>
      <c r="W36" s="138">
        <f t="shared" si="0"/>
        <v>0</v>
      </c>
      <c r="X36" s="31"/>
    </row>
    <row r="37" spans="1:24" ht="21.75" hidden="1" customHeight="1" x14ac:dyDescent="0.25">
      <c r="A37" s="59"/>
      <c r="B37" s="60"/>
      <c r="C37" s="61"/>
      <c r="D37" s="62"/>
      <c r="E37" s="63"/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6"/>
      <c r="W37" s="143">
        <f t="shared" si="0"/>
        <v>0</v>
      </c>
      <c r="X37" s="31"/>
    </row>
    <row r="38" spans="1:24" ht="25.5" x14ac:dyDescent="0.25">
      <c r="A38" s="11" t="s">
        <v>23</v>
      </c>
      <c r="B38" s="10" t="s">
        <v>22</v>
      </c>
      <c r="C38" s="9">
        <v>13</v>
      </c>
      <c r="D38" s="34"/>
      <c r="E38" s="35"/>
      <c r="F38" s="36"/>
      <c r="G38" s="37"/>
      <c r="H38" s="37"/>
      <c r="I38" s="37"/>
      <c r="J38" s="37"/>
      <c r="K38" s="37"/>
      <c r="L38" s="166"/>
      <c r="M38" s="167"/>
      <c r="N38" s="168"/>
      <c r="O38" s="37"/>
      <c r="P38" s="37"/>
      <c r="Q38" s="37"/>
      <c r="R38" s="37"/>
      <c r="S38" s="37"/>
      <c r="T38" s="37"/>
      <c r="U38" s="37"/>
      <c r="V38" s="17"/>
      <c r="W38" s="141">
        <f t="shared" si="0"/>
        <v>0</v>
      </c>
      <c r="X38" s="31"/>
    </row>
    <row r="39" spans="1:24" x14ac:dyDescent="0.25">
      <c r="A39" s="7"/>
      <c r="B39" s="6"/>
      <c r="C39" s="3" t="s">
        <v>90</v>
      </c>
      <c r="D39" s="33" t="s">
        <v>93</v>
      </c>
      <c r="E39" s="38"/>
      <c r="F39" s="39"/>
      <c r="G39" s="40"/>
      <c r="H39" s="40"/>
      <c r="I39" s="40"/>
      <c r="J39" s="40"/>
      <c r="K39" s="40"/>
      <c r="L39" s="152">
        <f>10000000*0.53</f>
        <v>5300000</v>
      </c>
      <c r="M39" s="153"/>
      <c r="N39" s="154"/>
      <c r="O39" s="40"/>
      <c r="P39" s="40"/>
      <c r="Q39" s="40"/>
      <c r="R39" s="40"/>
      <c r="S39" s="40"/>
      <c r="T39" s="40"/>
      <c r="U39" s="40"/>
      <c r="V39" s="16"/>
      <c r="W39" s="142">
        <f t="shared" si="0"/>
        <v>5300000</v>
      </c>
      <c r="X39" s="31"/>
    </row>
    <row r="40" spans="1:24" ht="22.5" x14ac:dyDescent="0.25">
      <c r="A40" s="7"/>
      <c r="B40" s="6"/>
      <c r="C40" s="3" t="s">
        <v>91</v>
      </c>
      <c r="D40" s="33" t="s">
        <v>94</v>
      </c>
      <c r="E40" s="38"/>
      <c r="F40" s="39"/>
      <c r="G40" s="40"/>
      <c r="H40" s="40"/>
      <c r="I40" s="40"/>
      <c r="J40" s="40"/>
      <c r="K40" s="40"/>
      <c r="L40" s="152">
        <f>26000000*0.53</f>
        <v>13780000</v>
      </c>
      <c r="M40" s="153"/>
      <c r="N40" s="154"/>
      <c r="O40" s="40"/>
      <c r="P40" s="40"/>
      <c r="Q40" s="40"/>
      <c r="R40" s="40"/>
      <c r="S40" s="40"/>
      <c r="T40" s="40"/>
      <c r="U40" s="40"/>
      <c r="V40" s="16"/>
      <c r="W40" s="142">
        <f t="shared" si="0"/>
        <v>13780000</v>
      </c>
      <c r="X40" s="31"/>
    </row>
    <row r="41" spans="1:24" ht="23.25" thickBot="1" x14ac:dyDescent="0.3">
      <c r="A41" s="15"/>
      <c r="B41" s="14"/>
      <c r="C41" s="13" t="s">
        <v>92</v>
      </c>
      <c r="D41" s="48" t="s">
        <v>95</v>
      </c>
      <c r="E41" s="49"/>
      <c r="F41" s="50"/>
      <c r="G41" s="51"/>
      <c r="H41" s="51"/>
      <c r="I41" s="51"/>
      <c r="J41" s="51"/>
      <c r="K41" s="51"/>
      <c r="L41" s="149">
        <f>2000000*0.53</f>
        <v>1060000</v>
      </c>
      <c r="M41" s="150"/>
      <c r="N41" s="151"/>
      <c r="O41" s="51"/>
      <c r="P41" s="51"/>
      <c r="Q41" s="51"/>
      <c r="R41" s="51"/>
      <c r="S41" s="51"/>
      <c r="T41" s="51"/>
      <c r="U41" s="51"/>
      <c r="V41" s="12"/>
      <c r="W41" s="138">
        <f t="shared" si="0"/>
        <v>1060000</v>
      </c>
      <c r="X41" s="31"/>
    </row>
    <row r="42" spans="1:24" ht="15.75" thickBot="1" x14ac:dyDescent="0.3">
      <c r="A42" s="67" t="s">
        <v>3</v>
      </c>
      <c r="B42" s="68" t="s">
        <v>2</v>
      </c>
      <c r="C42" s="69">
        <v>14</v>
      </c>
      <c r="D42" s="70" t="s">
        <v>96</v>
      </c>
      <c r="E42" s="71"/>
      <c r="F42" s="72"/>
      <c r="G42" s="73"/>
      <c r="H42" s="73"/>
      <c r="I42" s="73"/>
      <c r="J42" s="73">
        <f>9000000*0.53</f>
        <v>4770000</v>
      </c>
      <c r="K42" s="73"/>
      <c r="L42" s="169"/>
      <c r="M42" s="170"/>
      <c r="N42" s="171"/>
      <c r="O42" s="73"/>
      <c r="P42" s="73"/>
      <c r="Q42" s="73"/>
      <c r="R42" s="73"/>
      <c r="S42" s="73"/>
      <c r="T42" s="73"/>
      <c r="U42" s="73"/>
      <c r="V42" s="74"/>
      <c r="W42" s="144">
        <f t="shared" si="0"/>
        <v>4770000</v>
      </c>
      <c r="X42" s="31"/>
    </row>
    <row r="43" spans="1:24" x14ac:dyDescent="0.25">
      <c r="A43" s="11" t="s">
        <v>1</v>
      </c>
      <c r="B43" s="10" t="s">
        <v>0</v>
      </c>
      <c r="C43" s="9">
        <v>16</v>
      </c>
      <c r="D43" s="34"/>
      <c r="E43" s="35"/>
      <c r="F43" s="36"/>
      <c r="G43" s="37"/>
      <c r="H43" s="37"/>
      <c r="I43" s="37"/>
      <c r="J43" s="37"/>
      <c r="K43" s="37"/>
      <c r="L43" s="166"/>
      <c r="M43" s="167"/>
      <c r="N43" s="168"/>
      <c r="O43" s="37"/>
      <c r="P43" s="37"/>
      <c r="Q43" s="37"/>
      <c r="R43" s="37"/>
      <c r="S43" s="37"/>
      <c r="T43" s="37"/>
      <c r="U43" s="37"/>
      <c r="V43" s="17"/>
      <c r="W43" s="141">
        <f t="shared" si="0"/>
        <v>0</v>
      </c>
      <c r="X43" s="31"/>
    </row>
    <row r="44" spans="1:24" x14ac:dyDescent="0.25">
      <c r="A44" s="7"/>
      <c r="B44" s="6"/>
      <c r="C44" s="164" t="s">
        <v>97</v>
      </c>
      <c r="D44" s="33" t="s">
        <v>98</v>
      </c>
      <c r="E44" s="38"/>
      <c r="F44" s="38"/>
      <c r="G44" s="40"/>
      <c r="H44" s="40">
        <f>750000*0.53</f>
        <v>397500</v>
      </c>
      <c r="I44" s="40"/>
      <c r="J44" s="40"/>
      <c r="K44" s="40"/>
      <c r="L44" s="135">
        <f>375000*0.53</f>
        <v>198750</v>
      </c>
      <c r="M44" s="136"/>
      <c r="N44" s="137"/>
      <c r="O44" s="40">
        <f>225000*0.53</f>
        <v>119250</v>
      </c>
      <c r="P44" s="40">
        <f>150000*0.53</f>
        <v>79500</v>
      </c>
      <c r="Q44" s="40"/>
      <c r="R44" s="40"/>
      <c r="S44" s="40"/>
      <c r="T44" s="40"/>
      <c r="U44" s="40"/>
      <c r="V44" s="16"/>
      <c r="W44" s="142">
        <f t="shared" si="0"/>
        <v>795000</v>
      </c>
      <c r="X44" s="31"/>
    </row>
    <row r="45" spans="1:24" ht="22.5" x14ac:dyDescent="0.25">
      <c r="A45" s="7"/>
      <c r="B45" s="6"/>
      <c r="C45" s="165"/>
      <c r="D45" s="33" t="s">
        <v>99</v>
      </c>
      <c r="E45" s="38"/>
      <c r="F45" s="38"/>
      <c r="G45" s="40"/>
      <c r="H45" s="40"/>
      <c r="I45" s="40"/>
      <c r="J45" s="40">
        <f>800000*0.53</f>
        <v>424000</v>
      </c>
      <c r="K45" s="40"/>
      <c r="L45" s="135"/>
      <c r="M45" s="136"/>
      <c r="N45" s="137"/>
      <c r="O45" s="40"/>
      <c r="P45" s="40"/>
      <c r="Q45" s="40"/>
      <c r="R45" s="40"/>
      <c r="S45" s="40"/>
      <c r="T45" s="40"/>
      <c r="U45" s="40"/>
      <c r="V45" s="16"/>
      <c r="W45" s="142">
        <f t="shared" si="0"/>
        <v>424000</v>
      </c>
      <c r="X45" s="31"/>
    </row>
    <row r="46" spans="1:24" ht="45" x14ac:dyDescent="0.25">
      <c r="A46" s="7"/>
      <c r="B46" s="6"/>
      <c r="C46" s="3" t="s">
        <v>100</v>
      </c>
      <c r="D46" s="33" t="s">
        <v>101</v>
      </c>
      <c r="E46" s="38"/>
      <c r="F46" s="39"/>
      <c r="G46" s="40"/>
      <c r="H46" s="40"/>
      <c r="I46" s="40"/>
      <c r="J46" s="40">
        <f>700000*0.53</f>
        <v>371000</v>
      </c>
      <c r="K46" s="40"/>
      <c r="L46" s="135"/>
      <c r="M46" s="136"/>
      <c r="N46" s="137"/>
      <c r="O46" s="40"/>
      <c r="P46" s="40"/>
      <c r="Q46" s="40"/>
      <c r="R46" s="40"/>
      <c r="S46" s="40"/>
      <c r="T46" s="40"/>
      <c r="U46" s="40"/>
      <c r="V46" s="16"/>
      <c r="W46" s="142">
        <f t="shared" si="0"/>
        <v>371000</v>
      </c>
      <c r="X46" s="31"/>
    </row>
    <row r="47" spans="1:24" ht="34.5" thickBot="1" x14ac:dyDescent="0.3">
      <c r="A47" s="15"/>
      <c r="B47" s="14"/>
      <c r="C47" s="13"/>
      <c r="D47" s="48" t="s">
        <v>102</v>
      </c>
      <c r="E47" s="49"/>
      <c r="F47" s="50"/>
      <c r="G47" s="51"/>
      <c r="H47" s="51"/>
      <c r="I47" s="51"/>
      <c r="J47" s="51"/>
      <c r="K47" s="51"/>
      <c r="L47" s="75"/>
      <c r="M47" s="76"/>
      <c r="N47" s="77"/>
      <c r="O47" s="51"/>
      <c r="P47" s="51"/>
      <c r="Q47" s="51"/>
      <c r="R47" s="51"/>
      <c r="S47" s="51"/>
      <c r="T47" s="51"/>
      <c r="U47" s="51"/>
      <c r="V47" s="12"/>
      <c r="W47" s="138">
        <f t="shared" si="0"/>
        <v>0</v>
      </c>
      <c r="X47" s="31"/>
    </row>
    <row r="48" spans="1:24" ht="25.5" x14ac:dyDescent="0.25">
      <c r="A48" s="11" t="s">
        <v>103</v>
      </c>
      <c r="B48" s="10" t="s">
        <v>104</v>
      </c>
      <c r="C48" s="9">
        <v>19</v>
      </c>
      <c r="D48" s="34"/>
      <c r="E48" s="35"/>
      <c r="F48" s="36"/>
      <c r="G48" s="37"/>
      <c r="H48" s="37"/>
      <c r="I48" s="37"/>
      <c r="J48" s="37"/>
      <c r="K48" s="37"/>
      <c r="L48" s="175"/>
      <c r="M48" s="176"/>
      <c r="N48" s="177"/>
      <c r="O48" s="37"/>
      <c r="P48" s="37"/>
      <c r="Q48" s="37"/>
      <c r="R48" s="37"/>
      <c r="S48" s="37"/>
      <c r="T48" s="37"/>
      <c r="U48" s="37"/>
      <c r="V48" s="17"/>
      <c r="W48" s="141">
        <f t="shared" si="0"/>
        <v>0</v>
      </c>
      <c r="X48" s="31"/>
    </row>
    <row r="49" spans="1:24" ht="22.5" x14ac:dyDescent="0.25">
      <c r="A49" s="7"/>
      <c r="B49" s="6"/>
      <c r="C49" s="3" t="s">
        <v>105</v>
      </c>
      <c r="D49" s="33" t="s">
        <v>106</v>
      </c>
      <c r="E49" s="38"/>
      <c r="F49" s="39"/>
      <c r="G49" s="40"/>
      <c r="H49" s="40"/>
      <c r="I49" s="40"/>
      <c r="J49" s="40"/>
      <c r="K49" s="40"/>
      <c r="L49" s="152"/>
      <c r="M49" s="153"/>
      <c r="N49" s="154"/>
      <c r="O49" s="40"/>
      <c r="P49" s="40"/>
      <c r="Q49" s="40"/>
      <c r="R49" s="40"/>
      <c r="S49" s="40"/>
      <c r="T49" s="40"/>
      <c r="U49" s="40">
        <f>9500000*0.53</f>
        <v>5035000</v>
      </c>
      <c r="V49" s="16"/>
      <c r="W49" s="142">
        <f t="shared" si="0"/>
        <v>5035000</v>
      </c>
      <c r="X49" s="31"/>
    </row>
    <row r="50" spans="1:24" x14ac:dyDescent="0.25">
      <c r="A50" s="7"/>
      <c r="B50" s="6"/>
      <c r="C50" s="3" t="s">
        <v>107</v>
      </c>
      <c r="D50" s="33" t="s">
        <v>108</v>
      </c>
      <c r="E50" s="38"/>
      <c r="F50" s="39"/>
      <c r="G50" s="40"/>
      <c r="H50" s="40"/>
      <c r="I50" s="40"/>
      <c r="J50" s="40"/>
      <c r="K50" s="40"/>
      <c r="L50" s="152"/>
      <c r="M50" s="153"/>
      <c r="N50" s="154"/>
      <c r="O50" s="40"/>
      <c r="P50" s="40"/>
      <c r="Q50" s="40"/>
      <c r="R50" s="40"/>
      <c r="S50" s="40"/>
      <c r="T50" s="40"/>
      <c r="U50" s="40">
        <f>500000*0.53</f>
        <v>265000</v>
      </c>
      <c r="V50" s="16"/>
      <c r="W50" s="142">
        <f t="shared" si="0"/>
        <v>265000</v>
      </c>
      <c r="X50" s="31"/>
    </row>
    <row r="51" spans="1:24" ht="15.75" thickBot="1" x14ac:dyDescent="0.3">
      <c r="A51" s="15"/>
      <c r="B51" s="14"/>
      <c r="C51" s="13" t="s">
        <v>109</v>
      </c>
      <c r="D51" s="48" t="s">
        <v>110</v>
      </c>
      <c r="E51" s="49"/>
      <c r="F51" s="50"/>
      <c r="G51" s="51"/>
      <c r="H51" s="51"/>
      <c r="I51" s="51"/>
      <c r="J51" s="51"/>
      <c r="K51" s="51"/>
      <c r="L51" s="149"/>
      <c r="M51" s="150"/>
      <c r="N51" s="151"/>
      <c r="O51" s="51"/>
      <c r="P51" s="51"/>
      <c r="Q51" s="51"/>
      <c r="R51" s="51"/>
      <c r="S51" s="51"/>
      <c r="T51" s="51"/>
      <c r="U51" s="51">
        <f>2500000*0.53</f>
        <v>1325000</v>
      </c>
      <c r="V51" s="12"/>
      <c r="W51" s="138">
        <f t="shared" si="0"/>
        <v>1325000</v>
      </c>
      <c r="X51" s="31"/>
    </row>
    <row r="52" spans="1:24" x14ac:dyDescent="0.25">
      <c r="A52" s="11" t="s">
        <v>113</v>
      </c>
      <c r="B52" s="10" t="s">
        <v>114</v>
      </c>
      <c r="C52" s="9">
        <v>20</v>
      </c>
      <c r="D52" s="34"/>
      <c r="E52" s="35"/>
      <c r="F52" s="36"/>
      <c r="G52" s="37"/>
      <c r="H52" s="37"/>
      <c r="I52" s="37"/>
      <c r="J52" s="37"/>
      <c r="K52" s="37"/>
      <c r="L52" s="129"/>
      <c r="M52" s="130"/>
      <c r="N52" s="131"/>
      <c r="O52" s="37"/>
      <c r="P52" s="37"/>
      <c r="Q52" s="37"/>
      <c r="R52" s="37"/>
      <c r="S52" s="37"/>
      <c r="T52" s="37"/>
      <c r="U52" s="37"/>
      <c r="V52" s="17"/>
      <c r="W52" s="141">
        <f t="shared" si="0"/>
        <v>0</v>
      </c>
      <c r="X52" s="31"/>
    </row>
    <row r="53" spans="1:24" ht="22.5" x14ac:dyDescent="0.25">
      <c r="A53" s="7"/>
      <c r="B53" s="8"/>
      <c r="C53" s="3" t="s">
        <v>111</v>
      </c>
      <c r="D53" s="33" t="s">
        <v>112</v>
      </c>
      <c r="E53" s="38"/>
      <c r="F53" s="39"/>
      <c r="G53" s="40"/>
      <c r="H53" s="40"/>
      <c r="I53" s="40"/>
      <c r="J53" s="40"/>
      <c r="K53" s="40"/>
      <c r="L53" s="152"/>
      <c r="M53" s="153"/>
      <c r="N53" s="154"/>
      <c r="O53" s="40"/>
      <c r="P53" s="40"/>
      <c r="Q53" s="40"/>
      <c r="R53" s="40"/>
      <c r="S53" s="40"/>
      <c r="T53" s="40"/>
      <c r="U53" s="40"/>
      <c r="V53" s="16"/>
      <c r="W53" s="142">
        <f t="shared" si="0"/>
        <v>0</v>
      </c>
      <c r="X53" s="31"/>
    </row>
    <row r="54" spans="1:24" x14ac:dyDescent="0.25">
      <c r="A54" s="7"/>
      <c r="B54" s="6"/>
      <c r="C54" s="3" t="s">
        <v>115</v>
      </c>
      <c r="D54" s="33" t="s">
        <v>116</v>
      </c>
      <c r="E54" s="38"/>
      <c r="F54" s="39"/>
      <c r="G54" s="40"/>
      <c r="H54" s="40"/>
      <c r="I54" s="40"/>
      <c r="J54" s="40"/>
      <c r="K54" s="40"/>
      <c r="L54" s="152"/>
      <c r="M54" s="153"/>
      <c r="N54" s="154"/>
      <c r="O54" s="40"/>
      <c r="P54" s="40"/>
      <c r="Q54" s="40"/>
      <c r="R54" s="40"/>
      <c r="S54" s="40"/>
      <c r="T54" s="40"/>
      <c r="U54" s="40"/>
      <c r="V54" s="16"/>
      <c r="W54" s="142">
        <f>3493164*0.53</f>
        <v>1851376.9200000002</v>
      </c>
      <c r="X54" s="31"/>
    </row>
    <row r="55" spans="1:24" ht="15.75" thickBot="1" x14ac:dyDescent="0.3">
      <c r="A55" s="56"/>
      <c r="B55" s="14"/>
      <c r="C55" s="13"/>
      <c r="D55" s="48"/>
      <c r="E55" s="49"/>
      <c r="F55" s="50"/>
      <c r="G55" s="51"/>
      <c r="H55" s="51"/>
      <c r="I55" s="51"/>
      <c r="J55" s="51"/>
      <c r="K55" s="51"/>
      <c r="L55" s="149"/>
      <c r="M55" s="150"/>
      <c r="N55" s="151"/>
      <c r="O55" s="51"/>
      <c r="P55" s="51"/>
      <c r="Q55" s="51"/>
      <c r="R55" s="51"/>
      <c r="S55" s="51"/>
      <c r="T55" s="51"/>
      <c r="U55" s="51"/>
      <c r="V55" s="12"/>
      <c r="W55" s="138">
        <f>1000000*0.53</f>
        <v>530000</v>
      </c>
      <c r="X55" s="31"/>
    </row>
    <row r="56" spans="1:24" ht="15.75" thickBot="1" x14ac:dyDescent="0.3">
      <c r="A56" s="67" t="s">
        <v>117</v>
      </c>
      <c r="B56" s="81" t="s">
        <v>118</v>
      </c>
      <c r="C56" s="69"/>
      <c r="D56" s="70"/>
      <c r="E56" s="71"/>
      <c r="F56" s="72"/>
      <c r="G56" s="73"/>
      <c r="H56" s="73">
        <v>0</v>
      </c>
      <c r="I56" s="73">
        <v>10000000</v>
      </c>
      <c r="J56" s="73"/>
      <c r="K56" s="73"/>
      <c r="L56" s="169"/>
      <c r="M56" s="170"/>
      <c r="N56" s="171"/>
      <c r="O56" s="73"/>
      <c r="P56" s="73"/>
      <c r="Q56" s="73"/>
      <c r="R56" s="73"/>
      <c r="S56" s="73"/>
      <c r="T56" s="73"/>
      <c r="U56" s="73"/>
      <c r="V56" s="74"/>
      <c r="W56" s="144">
        <f t="shared" si="0"/>
        <v>10000000</v>
      </c>
      <c r="X56" s="31"/>
    </row>
    <row r="57" spans="1:24" x14ac:dyDescent="0.25">
      <c r="A57" s="26"/>
      <c r="B57" s="27"/>
      <c r="C57" s="28"/>
      <c r="D57" s="25"/>
      <c r="E57" s="38"/>
      <c r="F57" s="39"/>
      <c r="G57" s="40"/>
      <c r="H57" s="40"/>
      <c r="I57" s="40"/>
      <c r="J57" s="40"/>
      <c r="K57" s="40"/>
      <c r="L57" s="178"/>
      <c r="M57" s="179"/>
      <c r="N57" s="180"/>
      <c r="O57" s="40"/>
      <c r="P57" s="40"/>
      <c r="Q57" s="40"/>
      <c r="R57" s="40"/>
      <c r="S57" s="40"/>
      <c r="T57" s="40"/>
      <c r="U57" s="40"/>
      <c r="V57" s="16"/>
      <c r="W57" s="142"/>
      <c r="X57" s="31"/>
    </row>
    <row r="58" spans="1:24" x14ac:dyDescent="0.25">
      <c r="A58" s="7"/>
      <c r="B58" s="6"/>
      <c r="C58" s="3"/>
      <c r="D58" s="96" t="s">
        <v>125</v>
      </c>
      <c r="E58" s="97">
        <f t="shared" ref="E58:V58" si="1">SUM(E3:E57)</f>
        <v>0</v>
      </c>
      <c r="F58" s="98">
        <f t="shared" si="1"/>
        <v>0</v>
      </c>
      <c r="G58" s="98">
        <f t="shared" si="1"/>
        <v>0</v>
      </c>
      <c r="H58" s="98">
        <f t="shared" si="1"/>
        <v>8437600</v>
      </c>
      <c r="I58" s="98">
        <f t="shared" si="1"/>
        <v>19805000</v>
      </c>
      <c r="J58" s="98">
        <f t="shared" si="1"/>
        <v>7844000</v>
      </c>
      <c r="K58" s="98">
        <f t="shared" si="1"/>
        <v>0</v>
      </c>
      <c r="L58" s="98">
        <f t="shared" si="1"/>
        <v>63560250</v>
      </c>
      <c r="M58" s="98">
        <f t="shared" si="1"/>
        <v>0</v>
      </c>
      <c r="N58" s="98">
        <f t="shared" si="1"/>
        <v>0</v>
      </c>
      <c r="O58" s="98">
        <f t="shared" si="1"/>
        <v>3977650</v>
      </c>
      <c r="P58" s="98">
        <f t="shared" si="1"/>
        <v>1166000</v>
      </c>
      <c r="Q58" s="98">
        <f t="shared" si="1"/>
        <v>2491000</v>
      </c>
      <c r="R58" s="98">
        <f t="shared" si="1"/>
        <v>26500</v>
      </c>
      <c r="S58" s="98">
        <f t="shared" si="1"/>
        <v>0</v>
      </c>
      <c r="T58" s="98">
        <f t="shared" si="1"/>
        <v>7950000</v>
      </c>
      <c r="U58" s="98">
        <f t="shared" si="1"/>
        <v>14257000</v>
      </c>
      <c r="V58" s="98">
        <f t="shared" si="1"/>
        <v>318000</v>
      </c>
      <c r="W58" s="142">
        <f>SUM(W3:W56)</f>
        <v>132214376.92</v>
      </c>
      <c r="X58" s="31"/>
    </row>
    <row r="59" spans="1:24" x14ac:dyDescent="0.25">
      <c r="A59" s="7"/>
      <c r="B59" s="6"/>
      <c r="C59" s="3"/>
      <c r="D59" s="96"/>
      <c r="E59" s="97"/>
      <c r="F59" s="98"/>
      <c r="G59" s="98"/>
      <c r="H59" s="98"/>
      <c r="I59" s="98"/>
      <c r="J59" s="98"/>
      <c r="K59" s="98"/>
      <c r="L59" s="98"/>
      <c r="M59" s="108"/>
      <c r="N59" s="108"/>
      <c r="O59" s="98"/>
      <c r="P59" s="98"/>
      <c r="Q59" s="98"/>
      <c r="R59" s="98"/>
      <c r="S59" s="98"/>
      <c r="T59" s="98"/>
      <c r="U59" s="98"/>
      <c r="V59" s="98"/>
      <c r="W59" s="142"/>
      <c r="X59" s="31"/>
    </row>
    <row r="60" spans="1:24" x14ac:dyDescent="0.25">
      <c r="A60" s="7"/>
      <c r="B60" s="6"/>
      <c r="C60" s="3"/>
      <c r="D60" s="25"/>
      <c r="E60" s="38">
        <f t="shared" ref="E60:V60" si="2">E58*0.63</f>
        <v>0</v>
      </c>
      <c r="F60" s="38">
        <f t="shared" si="2"/>
        <v>0</v>
      </c>
      <c r="G60" s="38">
        <f t="shared" si="2"/>
        <v>0</v>
      </c>
      <c r="H60" s="38">
        <f t="shared" si="2"/>
        <v>5315688</v>
      </c>
      <c r="I60" s="38">
        <f t="shared" si="2"/>
        <v>12477150</v>
      </c>
      <c r="J60" s="38">
        <f t="shared" si="2"/>
        <v>4941720</v>
      </c>
      <c r="K60" s="38">
        <f t="shared" si="2"/>
        <v>0</v>
      </c>
      <c r="L60" s="38">
        <f t="shared" si="2"/>
        <v>40042957.5</v>
      </c>
      <c r="M60" s="38">
        <f t="shared" si="2"/>
        <v>0</v>
      </c>
      <c r="N60" s="38">
        <f t="shared" si="2"/>
        <v>0</v>
      </c>
      <c r="O60" s="38">
        <f t="shared" si="2"/>
        <v>2505919.5</v>
      </c>
      <c r="P60" s="38">
        <f t="shared" si="2"/>
        <v>734580</v>
      </c>
      <c r="Q60" s="38">
        <f t="shared" si="2"/>
        <v>1569330</v>
      </c>
      <c r="R60" s="38">
        <f t="shared" si="2"/>
        <v>16695</v>
      </c>
      <c r="S60" s="38">
        <f t="shared" si="2"/>
        <v>0</v>
      </c>
      <c r="T60" s="38">
        <f t="shared" si="2"/>
        <v>5008500</v>
      </c>
      <c r="U60" s="38">
        <f t="shared" si="2"/>
        <v>8981910</v>
      </c>
      <c r="V60" s="38">
        <f t="shared" si="2"/>
        <v>200340</v>
      </c>
      <c r="W60" s="142"/>
      <c r="X60" s="31"/>
    </row>
    <row r="61" spans="1:24" ht="24" x14ac:dyDescent="0.25">
      <c r="A61" s="7"/>
      <c r="B61" s="6"/>
      <c r="C61" s="3"/>
      <c r="D61" s="25"/>
      <c r="E61" s="38" t="s">
        <v>139</v>
      </c>
      <c r="F61" s="39" t="s">
        <v>140</v>
      </c>
      <c r="G61" s="40"/>
      <c r="H61" s="40"/>
      <c r="I61" s="40"/>
      <c r="J61" s="40"/>
      <c r="K61" s="40"/>
      <c r="L61" s="132"/>
      <c r="M61" s="133"/>
      <c r="N61" s="134"/>
      <c r="O61" s="40"/>
      <c r="P61" s="40"/>
      <c r="Q61" s="40"/>
      <c r="R61" s="40"/>
      <c r="S61" s="40"/>
      <c r="T61" s="40"/>
      <c r="U61" s="40"/>
      <c r="V61" s="16"/>
      <c r="W61" s="142"/>
      <c r="X61" s="31"/>
    </row>
    <row r="62" spans="1:24" x14ac:dyDescent="0.25">
      <c r="A62" s="7"/>
      <c r="B62" s="6"/>
      <c r="C62" s="102"/>
      <c r="D62" s="109" t="s">
        <v>126</v>
      </c>
      <c r="E62" s="110">
        <f>E58+F58</f>
        <v>0</v>
      </c>
      <c r="F62" s="106">
        <f>E62*0.63</f>
        <v>0</v>
      </c>
      <c r="G62" s="40"/>
      <c r="H62" s="40"/>
      <c r="I62" s="40"/>
      <c r="J62" s="40"/>
      <c r="K62" s="40"/>
      <c r="L62" s="152"/>
      <c r="M62" s="153"/>
      <c r="N62" s="154"/>
      <c r="O62" s="40"/>
      <c r="P62" s="40"/>
      <c r="Q62" s="40"/>
      <c r="R62" s="40"/>
      <c r="S62" s="40"/>
      <c r="T62" s="40"/>
      <c r="U62" s="40"/>
      <c r="V62" s="16"/>
      <c r="W62" s="142"/>
      <c r="X62" s="31"/>
    </row>
    <row r="63" spans="1:24" ht="15.75" thickBot="1" x14ac:dyDescent="0.3">
      <c r="A63" s="7"/>
      <c r="B63" s="6"/>
      <c r="C63" s="102"/>
      <c r="D63" s="109" t="s">
        <v>127</v>
      </c>
      <c r="E63" s="110">
        <f>V58</f>
        <v>318000</v>
      </c>
      <c r="F63" s="106">
        <f t="shared" ref="F63:F73" si="3">E63*0.63</f>
        <v>200340</v>
      </c>
      <c r="G63" s="40"/>
      <c r="H63" s="40"/>
      <c r="I63" s="40"/>
      <c r="J63" s="40"/>
      <c r="K63" s="65"/>
      <c r="L63" s="172"/>
      <c r="M63" s="173"/>
      <c r="N63" s="174"/>
      <c r="O63" s="40"/>
      <c r="P63" s="40"/>
      <c r="Q63" s="40"/>
      <c r="R63" s="40"/>
      <c r="S63" s="40"/>
      <c r="T63" s="40"/>
      <c r="U63" s="40"/>
      <c r="V63" s="16"/>
      <c r="W63" s="142"/>
      <c r="X63" s="31"/>
    </row>
    <row r="64" spans="1:24" ht="49.5" thickTop="1" thickBot="1" x14ac:dyDescent="0.3">
      <c r="A64" s="5"/>
      <c r="B64" s="4"/>
      <c r="C64" s="102"/>
      <c r="D64" s="109" t="s">
        <v>128</v>
      </c>
      <c r="E64" s="110">
        <f>H58+I58+J58+K58</f>
        <v>36086600</v>
      </c>
      <c r="F64" s="106">
        <f t="shared" si="3"/>
        <v>22734558</v>
      </c>
      <c r="G64" s="104"/>
      <c r="H64" s="104"/>
      <c r="I64" s="104"/>
      <c r="J64" s="104"/>
      <c r="K64" s="115" t="s">
        <v>141</v>
      </c>
      <c r="L64" s="116" t="s">
        <v>139</v>
      </c>
      <c r="M64" s="116" t="s">
        <v>142</v>
      </c>
      <c r="N64" s="117" t="s">
        <v>143</v>
      </c>
      <c r="O64" s="107"/>
      <c r="P64" s="40"/>
      <c r="Q64" s="40"/>
      <c r="R64" s="40"/>
      <c r="S64" s="40"/>
      <c r="T64" s="40"/>
      <c r="U64" s="40"/>
      <c r="V64" s="16"/>
      <c r="W64" s="142"/>
      <c r="X64" s="31"/>
    </row>
    <row r="65" spans="1:24" ht="15.75" thickBot="1" x14ac:dyDescent="0.3">
      <c r="A65" s="11"/>
      <c r="B65" s="10"/>
      <c r="C65" s="103"/>
      <c r="D65" s="109" t="s">
        <v>129</v>
      </c>
      <c r="E65" s="110">
        <f>P58+Q58+R58+S58</f>
        <v>3683500</v>
      </c>
      <c r="F65" s="106">
        <f t="shared" si="3"/>
        <v>2320605</v>
      </c>
      <c r="G65" s="104"/>
      <c r="H65" s="104"/>
      <c r="I65" s="104"/>
      <c r="J65" s="104"/>
      <c r="K65" s="118"/>
      <c r="L65" s="119">
        <f>L58+M58+N58+O58+P58+Q58+R58+S58+(U58*0.4)</f>
        <v>76924200</v>
      </c>
      <c r="M65" s="119">
        <f>L65*0.63</f>
        <v>48462246</v>
      </c>
      <c r="N65" s="120">
        <f>M65/F74</f>
        <v>0.57650056582704423</v>
      </c>
      <c r="O65" s="114"/>
      <c r="P65" s="37"/>
      <c r="Q65" s="37"/>
      <c r="R65" s="37"/>
      <c r="S65" s="37"/>
      <c r="T65" s="37"/>
      <c r="U65" s="37"/>
      <c r="V65" s="17"/>
      <c r="W65" s="141"/>
      <c r="X65" s="31"/>
    </row>
    <row r="66" spans="1:24" ht="15.75" thickTop="1" x14ac:dyDescent="0.25">
      <c r="A66" s="7"/>
      <c r="B66" s="6"/>
      <c r="C66" s="102"/>
      <c r="D66" s="109" t="s">
        <v>130</v>
      </c>
      <c r="E66" s="110">
        <f>(L58/2)+(M58/2)+(N58/2)</f>
        <v>31780125</v>
      </c>
      <c r="F66" s="106">
        <f t="shared" si="3"/>
        <v>20021478.75</v>
      </c>
      <c r="G66" s="104"/>
      <c r="H66" s="104"/>
      <c r="I66" s="104"/>
      <c r="J66" s="104"/>
      <c r="K66" s="106"/>
      <c r="L66" s="106"/>
      <c r="M66" s="106"/>
      <c r="N66" s="107"/>
      <c r="O66" s="40"/>
      <c r="P66" s="40"/>
      <c r="Q66" s="40"/>
      <c r="R66" s="40"/>
      <c r="S66" s="40"/>
      <c r="T66" s="40"/>
      <c r="U66" s="40"/>
      <c r="V66" s="16"/>
      <c r="W66" s="142"/>
      <c r="X66" s="31"/>
    </row>
    <row r="67" spans="1:24" x14ac:dyDescent="0.25">
      <c r="A67" s="7"/>
      <c r="B67" s="6"/>
      <c r="C67" s="102"/>
      <c r="D67" s="109" t="s">
        <v>131</v>
      </c>
      <c r="E67" s="110">
        <f>(L58/2)+(M58/2)+(N58/2)+O58</f>
        <v>35757775</v>
      </c>
      <c r="F67" s="106">
        <f t="shared" si="3"/>
        <v>22527398.25</v>
      </c>
      <c r="G67" s="104"/>
      <c r="H67" s="104"/>
      <c r="I67" s="104"/>
      <c r="J67" s="104"/>
      <c r="K67" s="104"/>
      <c r="L67" s="104"/>
      <c r="M67" s="104"/>
      <c r="N67" s="105"/>
      <c r="O67" s="40"/>
      <c r="P67" s="40"/>
      <c r="Q67" s="40"/>
      <c r="R67" s="40"/>
      <c r="S67" s="40"/>
      <c r="T67" s="40"/>
      <c r="U67" s="40"/>
      <c r="V67" s="16"/>
      <c r="W67" s="142"/>
      <c r="X67" s="31"/>
    </row>
    <row r="68" spans="1:24" x14ac:dyDescent="0.25">
      <c r="A68" s="7"/>
      <c r="B68" s="6"/>
      <c r="C68" s="102"/>
      <c r="D68" s="109" t="s">
        <v>132</v>
      </c>
      <c r="E68" s="110"/>
      <c r="F68" s="106">
        <f t="shared" si="3"/>
        <v>0</v>
      </c>
      <c r="G68" s="104"/>
      <c r="H68" s="104"/>
      <c r="I68" s="104"/>
      <c r="J68" s="104"/>
      <c r="K68" s="104"/>
      <c r="L68" s="104"/>
      <c r="M68" s="104"/>
      <c r="N68" s="105"/>
      <c r="O68" s="40"/>
      <c r="P68" s="40"/>
      <c r="Q68" s="40"/>
      <c r="R68" s="40"/>
      <c r="S68" s="40"/>
      <c r="T68" s="40"/>
      <c r="U68" s="40"/>
      <c r="V68" s="16"/>
      <c r="W68" s="142"/>
      <c r="X68" s="31"/>
    </row>
    <row r="69" spans="1:24" x14ac:dyDescent="0.25">
      <c r="A69" s="7"/>
      <c r="B69" s="6"/>
      <c r="C69" s="102"/>
      <c r="D69" s="109" t="s">
        <v>133</v>
      </c>
      <c r="E69" s="110">
        <f>T58</f>
        <v>7950000</v>
      </c>
      <c r="F69" s="106">
        <f t="shared" si="3"/>
        <v>5008500</v>
      </c>
      <c r="G69" s="106"/>
      <c r="H69" s="106"/>
      <c r="I69" s="113"/>
      <c r="J69" s="106"/>
      <c r="K69" s="106"/>
      <c r="L69" s="106"/>
      <c r="M69" s="106"/>
      <c r="N69" s="107"/>
      <c r="O69" s="40"/>
      <c r="P69" s="40"/>
      <c r="Q69" s="40"/>
      <c r="R69" s="40"/>
      <c r="S69" s="40"/>
      <c r="T69" s="40"/>
      <c r="U69" s="40"/>
      <c r="V69" s="16"/>
      <c r="W69" s="142"/>
      <c r="X69" s="31"/>
    </row>
    <row r="70" spans="1:24" x14ac:dyDescent="0.25">
      <c r="A70" s="7"/>
      <c r="B70" s="6"/>
      <c r="C70" s="102"/>
      <c r="D70" s="109" t="s">
        <v>134</v>
      </c>
      <c r="E70" s="110">
        <f>U58</f>
        <v>14257000</v>
      </c>
      <c r="F70" s="106">
        <f t="shared" si="3"/>
        <v>8981910</v>
      </c>
      <c r="G70" s="106"/>
      <c r="H70" s="106"/>
      <c r="I70" s="106"/>
      <c r="J70" s="106"/>
      <c r="K70" s="106"/>
      <c r="L70" s="106"/>
      <c r="M70" s="106"/>
      <c r="N70" s="107"/>
      <c r="O70" s="40"/>
      <c r="P70" s="40"/>
      <c r="Q70" s="40"/>
      <c r="R70" s="40"/>
      <c r="S70" s="40"/>
      <c r="T70" s="40"/>
      <c r="U70" s="40"/>
      <c r="V70" s="16"/>
      <c r="W70" s="142"/>
      <c r="X70" s="31"/>
    </row>
    <row r="71" spans="1:24" x14ac:dyDescent="0.25">
      <c r="A71" s="7"/>
      <c r="B71" s="6"/>
      <c r="C71" s="102"/>
      <c r="D71" s="109" t="s">
        <v>135</v>
      </c>
      <c r="E71" s="110">
        <f>G58</f>
        <v>0</v>
      </c>
      <c r="F71" s="106">
        <f t="shared" si="3"/>
        <v>0</v>
      </c>
      <c r="G71" s="106"/>
      <c r="H71" s="106"/>
      <c r="I71" s="106"/>
      <c r="J71" s="106"/>
      <c r="K71" s="106"/>
      <c r="L71" s="106"/>
      <c r="M71" s="106"/>
      <c r="N71" s="107"/>
      <c r="O71" s="40"/>
      <c r="P71" s="40"/>
      <c r="Q71" s="40"/>
      <c r="R71" s="40"/>
      <c r="S71" s="40"/>
      <c r="T71" s="40"/>
      <c r="U71" s="40"/>
      <c r="V71" s="16"/>
      <c r="W71" s="142"/>
      <c r="X71" s="31"/>
    </row>
    <row r="72" spans="1:24" x14ac:dyDescent="0.25">
      <c r="A72" s="7"/>
      <c r="B72" s="6"/>
      <c r="C72" s="102"/>
      <c r="D72" s="109" t="s">
        <v>136</v>
      </c>
      <c r="E72" s="110"/>
      <c r="F72" s="106">
        <f t="shared" si="3"/>
        <v>0</v>
      </c>
      <c r="G72" s="106"/>
      <c r="H72" s="106"/>
      <c r="I72" s="106"/>
      <c r="J72" s="106"/>
      <c r="K72" s="106"/>
      <c r="L72" s="106"/>
      <c r="M72" s="106"/>
      <c r="N72" s="107"/>
      <c r="O72" s="40"/>
      <c r="P72" s="40"/>
      <c r="Q72" s="40"/>
      <c r="R72" s="40"/>
      <c r="S72" s="40"/>
      <c r="T72" s="40"/>
      <c r="U72" s="40"/>
      <c r="V72" s="16"/>
      <c r="W72" s="142"/>
      <c r="X72" s="31"/>
    </row>
    <row r="73" spans="1:24" x14ac:dyDescent="0.25">
      <c r="A73" s="7"/>
      <c r="B73" s="6"/>
      <c r="C73" s="102"/>
      <c r="D73" s="109" t="s">
        <v>137</v>
      </c>
      <c r="E73" s="110">
        <v>3600000</v>
      </c>
      <c r="F73" s="106">
        <f t="shared" si="3"/>
        <v>2268000</v>
      </c>
      <c r="G73" s="106"/>
      <c r="H73" s="106"/>
      <c r="I73" s="106"/>
      <c r="J73" s="106"/>
      <c r="K73" s="106"/>
      <c r="L73" s="106"/>
      <c r="M73" s="106"/>
      <c r="N73" s="107"/>
      <c r="O73" s="40"/>
      <c r="P73" s="40"/>
      <c r="Q73" s="40"/>
      <c r="R73" s="40"/>
      <c r="S73" s="40"/>
      <c r="T73" s="40"/>
      <c r="U73" s="40"/>
      <c r="V73" s="16"/>
      <c r="W73" s="142"/>
      <c r="X73" s="31"/>
    </row>
    <row r="74" spans="1:24" ht="15.75" x14ac:dyDescent="0.25">
      <c r="A74" s="7"/>
      <c r="B74" s="6"/>
      <c r="C74" s="102"/>
      <c r="D74" s="111" t="s">
        <v>138</v>
      </c>
      <c r="E74" s="112">
        <f>SUM(E62:E73)</f>
        <v>133433000</v>
      </c>
      <c r="F74" s="106">
        <f>SUM(F62:F73)</f>
        <v>84062790</v>
      </c>
      <c r="G74" s="106">
        <f>SUM(G62:G73)</f>
        <v>0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16"/>
      <c r="W74" s="142"/>
      <c r="X74" s="31"/>
    </row>
  </sheetData>
  <mergeCells count="35">
    <mergeCell ref="L25:N25"/>
    <mergeCell ref="A1:C1"/>
    <mergeCell ref="E1:G1"/>
    <mergeCell ref="H1:I1"/>
    <mergeCell ref="J1:K1"/>
    <mergeCell ref="L1:N1"/>
    <mergeCell ref="T1:V1"/>
    <mergeCell ref="A2:B2"/>
    <mergeCell ref="L22:N22"/>
    <mergeCell ref="L23:N23"/>
    <mergeCell ref="L24:N24"/>
    <mergeCell ref="O1:S1"/>
    <mergeCell ref="C44:C45"/>
    <mergeCell ref="L29:N29"/>
    <mergeCell ref="L31:N31"/>
    <mergeCell ref="L32:N32"/>
    <mergeCell ref="L34:N34"/>
    <mergeCell ref="L35:N35"/>
    <mergeCell ref="L38:N38"/>
    <mergeCell ref="L54:N54"/>
    <mergeCell ref="L39:N39"/>
    <mergeCell ref="L40:N40"/>
    <mergeCell ref="L41:N41"/>
    <mergeCell ref="L42:N42"/>
    <mergeCell ref="L43:N43"/>
    <mergeCell ref="L48:N48"/>
    <mergeCell ref="L49:N49"/>
    <mergeCell ref="L50:N50"/>
    <mergeCell ref="L51:N51"/>
    <mergeCell ref="L53:N53"/>
    <mergeCell ref="L55:N55"/>
    <mergeCell ref="L56:N56"/>
    <mergeCell ref="L57:N57"/>
    <mergeCell ref="L62:N62"/>
    <mergeCell ref="L63:N63"/>
  </mergeCells>
  <dataValidations count="20">
    <dataValidation type="list" allowBlank="1" showInputMessage="1" showErrorMessage="1" sqref="H58:V60">
      <formula1>list3</formula1>
    </dataValidation>
    <dataValidation type="list" allowBlank="1" showInputMessage="1" showErrorMessage="1" sqref="E3:G74">
      <formula1>list3</formula1>
    </dataValidation>
    <dataValidation type="list" allowBlank="1" showInputMessage="1" showErrorMessage="1" sqref="M65:N74">
      <formula1>list1</formula1>
    </dataValidation>
    <dataValidation type="list" allowBlank="1" showInputMessage="1" showErrorMessage="1" sqref="K66:K74">
      <formula1>list1</formula1>
    </dataValidation>
    <dataValidation type="list" allowBlank="1" showInputMessage="1" showErrorMessage="1" sqref="L61:L74">
      <formula1>list1</formula1>
    </dataValidation>
    <dataValidation type="list" allowBlank="1" showInputMessage="1" showErrorMessage="1" sqref="O61:V74">
      <formula1>list1</formula1>
    </dataValidation>
    <dataValidation type="list" allowBlank="1" showInputMessage="1" showErrorMessage="1" sqref="H61:J74">
      <formula1>list1</formula1>
    </dataValidation>
    <dataValidation type="list" allowBlank="1" showInputMessage="1" showErrorMessage="1" sqref="O3:S57">
      <formula1>list1</formula1>
    </dataValidation>
    <dataValidation type="list" allowBlank="1" showInputMessage="1" showErrorMessage="1" sqref="T3:U11">
      <formula1>list1</formula1>
    </dataValidation>
    <dataValidation type="list" allowBlank="1" showInputMessage="1" showErrorMessage="1" sqref="T13:U57">
      <formula1>list1</formula1>
    </dataValidation>
    <dataValidation type="list" allowBlank="1" showInputMessage="1" showErrorMessage="1" sqref="K61:K64">
      <formula1>list1</formula1>
    </dataValidation>
    <dataValidation type="list" allowBlank="1" showInputMessage="1" showErrorMessage="1" sqref="H3:L57">
      <formula1>list1</formula1>
    </dataValidation>
    <dataValidation type="list" allowBlank="1" showInputMessage="1" showErrorMessage="1" sqref="W3:X74">
      <formula1>list1</formula1>
    </dataValidation>
    <dataValidation type="list" allowBlank="1" showInputMessage="1" showErrorMessage="1" sqref="V3:V57">
      <formula1>list1</formula1>
    </dataValidation>
    <dataValidation type="list" allowBlank="1" showInputMessage="1" showErrorMessage="1" sqref="M36:N37">
      <formula1>list1</formula1>
    </dataValidation>
    <dataValidation type="list" allowBlank="1" showInputMessage="1" showErrorMessage="1" sqref="T12">
      <formula1>list1</formula1>
    </dataValidation>
    <dataValidation type="list" allowBlank="1" showInputMessage="1" showErrorMessage="1" sqref="M3:N21">
      <formula1>list1</formula1>
    </dataValidation>
    <dataValidation type="list" allowBlank="1" showInputMessage="1" showErrorMessage="1" sqref="M26:N28">
      <formula1>list1</formula1>
    </dataValidation>
    <dataValidation type="list" allowBlank="1" showInputMessage="1" showErrorMessage="1" sqref="M30:N30">
      <formula1>list1</formula1>
    </dataValidation>
    <dataValidation type="list" allowBlank="1" showInputMessage="1" showErrorMessage="1" sqref="M33:N33">
      <formula1>list1</formula1>
    </dataValidation>
  </dataValidations>
  <printOptions horizontalCentered="1" verticalCentered="1"/>
  <pageMargins left="0.19685039370078741" right="0.15748031496062992" top="0.19685039370078741" bottom="0.19685039370078741" header="0.23622047244094491" footer="0.23622047244094491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front page</vt:lpstr>
      <vt:lpstr>Public Expenditure</vt:lpstr>
      <vt:lpstr>EU contribution</vt:lpstr>
      <vt:lpstr>'EU contribution'!Print_Area</vt:lpstr>
      <vt:lpstr>'front page'!Print_Area</vt:lpstr>
      <vt:lpstr>'Public Expenditure'!Print_Area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cgeorgiou</dc:creator>
  <cp:lastModifiedBy>Yiannos Mavrommatis</cp:lastModifiedBy>
  <cp:lastPrinted>2014-07-02T12:27:03Z</cp:lastPrinted>
  <dcterms:created xsi:type="dcterms:W3CDTF">2014-01-29T07:29:26Z</dcterms:created>
  <dcterms:modified xsi:type="dcterms:W3CDTF">2014-07-24T06:08:33Z</dcterms:modified>
</cp:coreProperties>
</file>